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Aset\Cetak Label Aset\"/>
    </mc:Choice>
  </mc:AlternateContent>
  <bookViews>
    <workbookView minimized="1" xWindow="0" yWindow="0" windowWidth="20490" windowHeight="7650"/>
  </bookViews>
  <sheets>
    <sheet name="DATABASE" sheetId="1" r:id="rId1"/>
    <sheet name="LABEL" sheetId="2" r:id="rId2"/>
    <sheet name="LABEL 10" sheetId="8" r:id="rId3"/>
    <sheet name="LABEL 4" sheetId="4" r:id="rId4"/>
    <sheet name="LABEL 2" sheetId="6" r:id="rId5"/>
    <sheet name="LABEL 1" sheetId="7" r:id="rId6"/>
    <sheet name="DATABASE (2)" sheetId="5" r:id="rId7"/>
  </sheets>
  <definedNames>
    <definedName name="_xlnm._FilterDatabase" localSheetId="0" hidden="1">DATABASE!$A$1:$G$1</definedName>
    <definedName name="_xlnm._FilterDatabase" localSheetId="6" hidden="1">'DATABASE (2)'!$A$1:$G$1</definedName>
    <definedName name="_xlnm.Print_Area" localSheetId="1">LABEL!$A$1:$G$49</definedName>
    <definedName name="_xlnm.Print_Area" localSheetId="5">'LABEL 1'!$A$1:$F$8</definedName>
    <definedName name="_xlnm.Print_Area" localSheetId="2">'LABEL 10'!$A$1:$G$31</definedName>
    <definedName name="_xlnm.Print_Area" localSheetId="4">'LABEL 2'!$A$1:$G$13</definedName>
    <definedName name="_xlnm.Print_Area" localSheetId="3">'LABEL 4'!$A$1:$G$13</definedName>
  </definedNames>
  <calcPr calcId="162913" iterate="1"/>
</workbook>
</file>

<file path=xl/calcChain.xml><?xml version="1.0" encoding="utf-8"?>
<calcChain xmlns="http://schemas.openxmlformats.org/spreadsheetml/2006/main">
  <c r="F30" i="8" l="1"/>
  <c r="E30" i="8"/>
  <c r="C30" i="8"/>
  <c r="B30" i="8"/>
  <c r="F29" i="8"/>
  <c r="C29" i="8"/>
  <c r="F28" i="8"/>
  <c r="C28" i="8"/>
  <c r="F27" i="8"/>
  <c r="C27" i="8"/>
  <c r="F26" i="8"/>
  <c r="C26" i="8"/>
  <c r="F24" i="8"/>
  <c r="E24" i="8"/>
  <c r="C24" i="8"/>
  <c r="B24" i="8"/>
  <c r="F23" i="8"/>
  <c r="C23" i="8"/>
  <c r="F22" i="8"/>
  <c r="C22" i="8"/>
  <c r="F21" i="8"/>
  <c r="C21" i="8"/>
  <c r="F20" i="8"/>
  <c r="C20" i="8"/>
  <c r="F18" i="8"/>
  <c r="E18" i="8"/>
  <c r="C18" i="8"/>
  <c r="B18" i="8"/>
  <c r="F17" i="8"/>
  <c r="C17" i="8"/>
  <c r="F16" i="8"/>
  <c r="C16" i="8"/>
  <c r="F15" i="8"/>
  <c r="C15" i="8"/>
  <c r="F14" i="8"/>
  <c r="C14" i="8"/>
  <c r="F12" i="8"/>
  <c r="E12" i="8"/>
  <c r="C12" i="8"/>
  <c r="B12" i="8"/>
  <c r="F11" i="8"/>
  <c r="C11" i="8"/>
  <c r="F10" i="8"/>
  <c r="C10" i="8"/>
  <c r="F9" i="8"/>
  <c r="C9" i="8"/>
  <c r="F8" i="8"/>
  <c r="C8" i="8"/>
  <c r="F6" i="8"/>
  <c r="E6" i="8"/>
  <c r="C6" i="8"/>
  <c r="B6" i="8"/>
  <c r="F5" i="8"/>
  <c r="C5" i="8"/>
  <c r="F4" i="8"/>
  <c r="C4" i="8"/>
  <c r="F3" i="8"/>
  <c r="C3" i="8"/>
  <c r="F2" i="8"/>
  <c r="C2" i="8"/>
  <c r="C6" i="7" l="1"/>
  <c r="B6" i="7"/>
  <c r="C5" i="7"/>
  <c r="C4" i="7"/>
  <c r="C3" i="7"/>
  <c r="C2" i="7"/>
  <c r="F6" i="6" l="1"/>
  <c r="E6" i="6"/>
  <c r="C6" i="6"/>
  <c r="B6" i="6"/>
  <c r="F5" i="6"/>
  <c r="C5" i="6"/>
  <c r="F4" i="6"/>
  <c r="C4" i="6"/>
  <c r="F3" i="6"/>
  <c r="C3" i="6"/>
  <c r="F2" i="6"/>
  <c r="C2" i="6"/>
  <c r="F12" i="4" l="1"/>
  <c r="E12" i="4"/>
  <c r="C12" i="4"/>
  <c r="B12" i="4"/>
  <c r="F11" i="4"/>
  <c r="C11" i="4"/>
  <c r="F10" i="4"/>
  <c r="C10" i="4"/>
  <c r="F9" i="4"/>
  <c r="C9" i="4"/>
  <c r="F8" i="4"/>
  <c r="C8" i="4"/>
  <c r="F6" i="4"/>
  <c r="E6" i="4"/>
  <c r="C6" i="4"/>
  <c r="B6" i="4"/>
  <c r="F5" i="4"/>
  <c r="C5" i="4"/>
  <c r="F4" i="4"/>
  <c r="C4" i="4"/>
  <c r="F3" i="4"/>
  <c r="C3" i="4"/>
  <c r="F2" i="4"/>
  <c r="C2" i="4"/>
  <c r="K4" i="2" l="1"/>
  <c r="E48" i="2" l="1"/>
  <c r="F48" i="2"/>
  <c r="F47" i="2"/>
  <c r="F46" i="2"/>
  <c r="F45" i="2"/>
  <c r="F44" i="2"/>
  <c r="B48" i="2"/>
  <c r="C48" i="2"/>
  <c r="C47" i="2"/>
  <c r="C46" i="2"/>
  <c r="C45" i="2"/>
  <c r="C44" i="2"/>
  <c r="E42" i="2"/>
  <c r="F42" i="2"/>
  <c r="F41" i="2"/>
  <c r="F40" i="2"/>
  <c r="F38" i="2"/>
  <c r="F39" i="2"/>
  <c r="B42" i="2"/>
  <c r="C42" i="2"/>
  <c r="C41" i="2"/>
  <c r="C40" i="2"/>
  <c r="C39" i="2"/>
  <c r="C38" i="2"/>
  <c r="E36" i="2"/>
  <c r="F36" i="2"/>
  <c r="F35" i="2"/>
  <c r="F34" i="2"/>
  <c r="F33" i="2"/>
  <c r="F32" i="2"/>
  <c r="B36" i="2"/>
  <c r="C36" i="2"/>
  <c r="C35" i="2"/>
  <c r="C34" i="2"/>
  <c r="C33" i="2"/>
  <c r="C32" i="2"/>
  <c r="E30" i="2"/>
  <c r="F30" i="2"/>
  <c r="F29" i="2"/>
  <c r="F28" i="2"/>
  <c r="F27" i="2"/>
  <c r="F26" i="2"/>
  <c r="B30" i="2"/>
  <c r="C30" i="2"/>
  <c r="C29" i="2"/>
  <c r="C28" i="2"/>
  <c r="C27" i="2"/>
  <c r="C26" i="2"/>
  <c r="E24" i="2"/>
  <c r="F24" i="2"/>
  <c r="F23" i="2"/>
  <c r="F22" i="2"/>
  <c r="F21" i="2"/>
  <c r="F20" i="2"/>
  <c r="B24" i="2"/>
  <c r="C24" i="2"/>
  <c r="C23" i="2"/>
  <c r="C22" i="2"/>
  <c r="C21" i="2"/>
  <c r="C20" i="2"/>
  <c r="E18" i="2"/>
  <c r="F18" i="2"/>
  <c r="F17" i="2"/>
  <c r="F16" i="2"/>
  <c r="F15" i="2"/>
  <c r="F14" i="2"/>
  <c r="B18" i="2"/>
  <c r="C18" i="2"/>
  <c r="C17" i="2"/>
  <c r="C16" i="2"/>
  <c r="C15" i="2"/>
  <c r="C14" i="2"/>
  <c r="E12" i="2"/>
  <c r="F12" i="2"/>
  <c r="F11" i="2"/>
  <c r="F10" i="2"/>
  <c r="F9" i="2"/>
  <c r="F8" i="2"/>
  <c r="C12" i="2"/>
  <c r="B12" i="2"/>
  <c r="C11" i="2"/>
  <c r="C10" i="2"/>
  <c r="C9" i="2"/>
  <c r="C8" i="2"/>
  <c r="E6" i="2"/>
  <c r="F6" i="2"/>
  <c r="F5" i="2"/>
  <c r="F4" i="2"/>
  <c r="F3" i="2"/>
  <c r="F2" i="2"/>
  <c r="B6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<sst xmlns="http://schemas.openxmlformats.org/spreadsheetml/2006/main" count="457" uniqueCount="92">
  <si>
    <t>No</t>
  </si>
  <si>
    <t>PAGE</t>
  </si>
  <si>
    <t>ROW</t>
  </si>
  <si>
    <t>HALAMAN</t>
  </si>
  <si>
    <t>Asal Anggaran</t>
  </si>
  <si>
    <t>Ruang</t>
  </si>
  <si>
    <t>Merk/Type</t>
  </si>
  <si>
    <t>Nama Barang</t>
  </si>
  <si>
    <t>PRINTER</t>
  </si>
  <si>
    <t>BELANJA MODAL BOS TAHUN 2023</t>
  </si>
  <si>
    <t>RUANG PENUNJANG</t>
  </si>
  <si>
    <t>0001 (0005)</t>
  </si>
  <si>
    <t>0004 (0005)</t>
  </si>
  <si>
    <t>0005 (0005)</t>
  </si>
  <si>
    <t>0002 (0005)</t>
  </si>
  <si>
    <t>SMK NEGERI 2 PEKALONGAN</t>
  </si>
  <si>
    <t>Reg</t>
  </si>
  <si>
    <t>Unit Kerja</t>
  </si>
  <si>
    <t>Tahun</t>
  </si>
  <si>
    <t>PC. UNIT</t>
  </si>
  <si>
    <t>CORE I5</t>
  </si>
  <si>
    <t>RUANG LAB. OTKP</t>
  </si>
  <si>
    <t>0006 (0036)</t>
  </si>
  <si>
    <t>0007 (0036)</t>
  </si>
  <si>
    <t>0008 (0036)</t>
  </si>
  <si>
    <t>0009 (0036)</t>
  </si>
  <si>
    <t>0011 (0036)</t>
  </si>
  <si>
    <t>0010 (0036)</t>
  </si>
  <si>
    <t>0012 (0036)</t>
  </si>
  <si>
    <t>0013 (0036)</t>
  </si>
  <si>
    <t>0014 (0036)</t>
  </si>
  <si>
    <t>0015 (0036)</t>
  </si>
  <si>
    <t>0016 (0036)</t>
  </si>
  <si>
    <t>0017 (0036)</t>
  </si>
  <si>
    <t>0018 (0036)</t>
  </si>
  <si>
    <t>0003 (0005)</t>
  </si>
  <si>
    <t>EPSON L5290 - HITAM</t>
  </si>
  <si>
    <t>LCD PROYEKTOR</t>
  </si>
  <si>
    <t>EPSON EB-X450</t>
  </si>
  <si>
    <t>BOS KINERJA SEMESTER II TAHUN 2020</t>
  </si>
  <si>
    <t>000014 (000015)</t>
  </si>
  <si>
    <t>000015 (000015)</t>
  </si>
  <si>
    <t>000013 (000015)</t>
  </si>
  <si>
    <t>000012 (000015)</t>
  </si>
  <si>
    <t>000011 (000015)</t>
  </si>
  <si>
    <t>000010 (000015)</t>
  </si>
  <si>
    <t>RUANG WAKIL KEPALA SEKOLAH</t>
  </si>
  <si>
    <t>RUANG OLAHRAGA</t>
  </si>
  <si>
    <t>RUANG WAKA</t>
  </si>
  <si>
    <t>LAPTOP</t>
  </si>
  <si>
    <t>ASUS TUF GAMING F15 (CORE I5)</t>
  </si>
  <si>
    <t>WAKA KURIKULUM</t>
  </si>
  <si>
    <t>000001 (000001)</t>
  </si>
  <si>
    <t>BM BOS TRIWULAN III TAHUN 2023</t>
  </si>
  <si>
    <t>LENOVO ALL IN ONE-F0G6</t>
  </si>
  <si>
    <t>TEFA</t>
  </si>
  <si>
    <t>EPSON - L3210</t>
  </si>
  <si>
    <t>RUANG TATA USAHA</t>
  </si>
  <si>
    <t>SCANER</t>
  </si>
  <si>
    <t>EPSON - DS 410</t>
  </si>
  <si>
    <t>000001 (000002)</t>
  </si>
  <si>
    <t>000002 (000002)</t>
  </si>
  <si>
    <t>UBIQUITI PBC-5AC</t>
  </si>
  <si>
    <t>ANTENA PEMANCAR</t>
  </si>
  <si>
    <t>BENGKEL TKJ</t>
  </si>
  <si>
    <t>MINI PC. UNIT</t>
  </si>
  <si>
    <t>LENOVO THINK CENTER M700</t>
  </si>
  <si>
    <t>RUANG PERTEMUAN 1</t>
  </si>
  <si>
    <t>000001 (000010)</t>
  </si>
  <si>
    <t>RUANG LAB. PSPT</t>
  </si>
  <si>
    <t>000002 (000010)</t>
  </si>
  <si>
    <t>000003 (000010)</t>
  </si>
  <si>
    <t>000004 (000010)</t>
  </si>
  <si>
    <t>000005 (000010)</t>
  </si>
  <si>
    <t>000006 (000010)</t>
  </si>
  <si>
    <t>000007 (000010)</t>
  </si>
  <si>
    <t>000008 (000010)</t>
  </si>
  <si>
    <t>000009 (000010)</t>
  </si>
  <si>
    <t>000010 (000010)</t>
  </si>
  <si>
    <t>INTEL CORE I5-11400F</t>
  </si>
  <si>
    <t>KIPAS ANGIN</t>
  </si>
  <si>
    <t>RUANG TEFA OTKP</t>
  </si>
  <si>
    <t>RUANG PLPG</t>
  </si>
  <si>
    <t>MESIN POTONG RUMPUT</t>
  </si>
  <si>
    <t>ADVANCE DIGITAL</t>
  </si>
  <si>
    <t>SHARP 2 PK - AH-A18ZCY</t>
  </si>
  <si>
    <t>BM BOS TRIWULAN IV TAHUN 2023</t>
  </si>
  <si>
    <t>RUANG GURU</t>
  </si>
  <si>
    <t>RONHOOF CORDLESS</t>
  </si>
  <si>
    <t>A.C. SPLIT</t>
  </si>
  <si>
    <t>RUANG SERVER</t>
  </si>
  <si>
    <t>INTEL CORE I7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</si>
</sst>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1" x14ac:knownFonts="1">
    <font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10"/>
      <name val="Tahoma"/>
      <family val="2"/>
    </font>
    <font>
      <b/>
      <sz val="11"/>
      <name val="Tahoma"/>
      <family val="2"/>
    </font>
    <font>
      <b/>
      <sz val="12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sz val="28"/>
      <name val="Tahoma"/>
      <family val="2"/>
    </font>
    <font>
      <b/>
      <u/>
      <sz val="10"/>
      <name val="Tahoma"/>
      <family val="2"/>
    </font>
    <font>
      <sz val="11"/>
      <color theme="1"/>
      <name val="Calibri"/>
      <family val="2"/>
      <charset val="1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2" fillId="0" borderId="0" xfId="0" applyFont="1" applyBorder="1" applyAlignment="1" applyProtection="1">
      <alignment horizontal="center" vertical="center" shrinkToFit="1"/>
      <protection hidden="1"/>
    </xf>
    <xf numFmtId="0" fontId="2" fillId="2" borderId="0" xfId="0" applyFont="1" applyFill="1" applyBorder="1" applyAlignment="1" applyProtection="1">
      <alignment horizontal="center" vertical="center" shrinkToFit="1"/>
      <protection hidden="1"/>
    </xf>
    <xf numFmtId="0" fontId="4" fillId="2" borderId="0" xfId="0" applyFont="1" applyFill="1" applyBorder="1" applyAlignment="1" applyProtection="1">
      <alignment horizontal="center" wrapText="1" shrinkToFit="1"/>
      <protection hidden="1"/>
    </xf>
    <xf numFmtId="0" fontId="2" fillId="2" borderId="0" xfId="0" applyFont="1" applyFill="1" applyBorder="1" applyAlignment="1" applyProtection="1">
      <alignment horizontal="center" vertical="top" shrinkToFit="1"/>
      <protection hidden="1"/>
    </xf>
    <xf numFmtId="0" fontId="2" fillId="0" borderId="0" xfId="0" applyFont="1" applyBorder="1" applyAlignment="1" applyProtection="1">
      <alignment horizontal="center" vertical="center" wrapText="1" shrinkToFit="1"/>
      <protection hidden="1"/>
    </xf>
    <xf numFmtId="0" fontId="2" fillId="2" borderId="0" xfId="0" applyFont="1" applyFill="1" applyBorder="1" applyAlignment="1" applyProtection="1">
      <alignment horizontal="center" shrinkToFit="1"/>
      <protection hidden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 shrinkToFit="1"/>
      <protection hidden="1"/>
    </xf>
    <xf numFmtId="0" fontId="6" fillId="2" borderId="0" xfId="0" applyFont="1" applyFill="1" applyBorder="1" applyAlignment="1" applyProtection="1">
      <alignment horizontal="center" vertical="center" shrinkToFit="1"/>
      <protection hidden="1"/>
    </xf>
    <xf numFmtId="0" fontId="3" fillId="2" borderId="0" xfId="0" applyFont="1" applyFill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top" shrinkToFit="1"/>
      <protection hidden="1"/>
    </xf>
    <xf numFmtId="0" fontId="3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/>
    <xf numFmtId="0" fontId="3" fillId="2" borderId="0" xfId="0" applyFont="1" applyFill="1" applyBorder="1" applyAlignment="1" applyProtection="1">
      <alignment horizontal="center" vertical="top" shrinkToFit="1"/>
      <protection hidden="1"/>
    </xf>
    <xf numFmtId="0" fontId="0" fillId="0" borderId="1" xfId="0" applyBorder="1" applyAlignment="1">
      <alignment horizontal="center" vertical="center"/>
    </xf>
    <xf numFmtId="0" fontId="8" fillId="2" borderId="0" xfId="0" applyFont="1" applyFill="1" applyAlignment="1">
      <alignment horizontal="center" vertical="top"/>
    </xf>
    <xf numFmtId="1" fontId="3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wrapText="1" shrinkToFit="1"/>
      <protection hidden="1"/>
    </xf>
    <xf numFmtId="0" fontId="2" fillId="0" borderId="0" xfId="0" applyFont="1" applyFill="1" applyBorder="1" applyAlignment="1" applyProtection="1">
      <alignment horizontal="center" vertical="center" shrinkToFit="1"/>
      <protection hidden="1"/>
    </xf>
    <xf numFmtId="0" fontId="2" fillId="0" borderId="0" xfId="0" applyFont="1" applyFill="1" applyBorder="1" applyAlignment="1" applyProtection="1">
      <alignment horizontal="center" vertical="top" shrinkToFit="1"/>
      <protection hidden="1"/>
    </xf>
    <xf numFmtId="0" fontId="6" fillId="0" borderId="0" xfId="0" applyFont="1" applyFill="1" applyBorder="1" applyAlignment="1" applyProtection="1">
      <alignment horizontal="center" vertical="center" shrinkToFit="1"/>
      <protection hidden="1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4" fillId="0" borderId="0" xfId="0" applyFont="1" applyFill="1" applyBorder="1" applyAlignment="1" applyProtection="1">
      <alignment horizontal="center" vertical="top" shrinkToFit="1"/>
      <protection hidden="1"/>
    </xf>
    <xf numFmtId="0" fontId="8" fillId="0" borderId="0" xfId="0" applyFont="1" applyFill="1" applyAlignment="1">
      <alignment horizontal="center" vertical="top"/>
    </xf>
    <xf numFmtId="0" fontId="10" fillId="0" borderId="2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top" shrinkToFit="1"/>
      <protection hidden="1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I$4" inc="12" max="30000" min="1" page="10"/>
</file>

<file path=xl/ctrlProps/ctrlProp2.xml><?xml version="1.0" encoding="utf-8"?>
<formControlPr xmlns="http://schemas.microsoft.com/office/spreadsheetml/2009/9/main" objectType="Spin" dx="16" fmlaLink="$I$4" inc="12" max="30000" min="1" page="10" val="33"/>
</file>

<file path=xl/ctrlProps/ctrlProp3.xml><?xml version="1.0" encoding="utf-8"?>
<formControlPr xmlns="http://schemas.microsoft.com/office/spreadsheetml/2009/9/main" objectType="Spin" dx="16" fmlaLink="$I$4" inc="12" max="30000" min="1" page="10" val="43"/>
</file>

<file path=xl/ctrlProps/ctrlProp4.xml><?xml version="1.0" encoding="utf-8"?>
<formControlPr xmlns="http://schemas.microsoft.com/office/spreadsheetml/2009/9/main" objectType="Spin" dx="16" fmlaLink="$I$4" inc="12" max="30000" min="1" page="10" val="34"/>
</file>

<file path=xl/ctrlProps/ctrlProp5.xml><?xml version="1.0" encoding="utf-8"?>
<formControlPr xmlns="http://schemas.microsoft.com/office/spreadsheetml/2009/9/main" objectType="Spin" dx="16" fmlaLink="$I$4" inc="12" max="30000" min="1" page="10" val="47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3</xdr:row>
          <xdr:rowOff>19050</xdr:rowOff>
        </xdr:from>
        <xdr:to>
          <xdr:col>9</xdr:col>
          <xdr:colOff>571500</xdr:colOff>
          <xdr:row>6</xdr:row>
          <xdr:rowOff>76200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66675</xdr:colOff>
      <xdr:row>1</xdr:row>
      <xdr:rowOff>209550</xdr:rowOff>
    </xdr:from>
    <xdr:to>
      <xdr:col>1</xdr:col>
      <xdr:colOff>771525</xdr:colOff>
      <xdr:row>4</xdr:row>
      <xdr:rowOff>222806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90525"/>
          <a:ext cx="704850" cy="784781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1</xdr:row>
      <xdr:rowOff>219075</xdr:rowOff>
    </xdr:from>
    <xdr:to>
      <xdr:col>5</xdr:col>
      <xdr:colOff>0</xdr:colOff>
      <xdr:row>4</xdr:row>
      <xdr:rowOff>232331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0925" y="400050"/>
          <a:ext cx="704850" cy="784781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7</xdr:row>
      <xdr:rowOff>219075</xdr:rowOff>
    </xdr:from>
    <xdr:to>
      <xdr:col>1</xdr:col>
      <xdr:colOff>771525</xdr:colOff>
      <xdr:row>10</xdr:row>
      <xdr:rowOff>232331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943100"/>
          <a:ext cx="704850" cy="784781"/>
        </a:xfrm>
        <a:prstGeom prst="rect">
          <a:avLst/>
        </a:prstGeom>
      </xdr:spPr>
    </xdr:pic>
    <xdr:clientData/>
  </xdr:twoCellAnchor>
  <xdr:oneCellAnchor>
    <xdr:from>
      <xdr:col>4</xdr:col>
      <xdr:colOff>66675</xdr:colOff>
      <xdr:row>7</xdr:row>
      <xdr:rowOff>209550</xdr:rowOff>
    </xdr:from>
    <xdr:ext cx="704850" cy="784781"/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0" y="1933575"/>
          <a:ext cx="704850" cy="784781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13</xdr:row>
      <xdr:rowOff>219075</xdr:rowOff>
    </xdr:from>
    <xdr:ext cx="704850" cy="784781"/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943100"/>
          <a:ext cx="704850" cy="784781"/>
        </a:xfrm>
        <a:prstGeom prst="rect">
          <a:avLst/>
        </a:prstGeom>
      </xdr:spPr>
    </xdr:pic>
    <xdr:clientData/>
  </xdr:oneCellAnchor>
  <xdr:oneCellAnchor>
    <xdr:from>
      <xdr:col>4</xdr:col>
      <xdr:colOff>66675</xdr:colOff>
      <xdr:row>13</xdr:row>
      <xdr:rowOff>209550</xdr:rowOff>
    </xdr:from>
    <xdr:ext cx="704850" cy="784781"/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0" y="1933575"/>
          <a:ext cx="704850" cy="784781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19</xdr:row>
      <xdr:rowOff>219075</xdr:rowOff>
    </xdr:from>
    <xdr:ext cx="704850" cy="784781"/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943100"/>
          <a:ext cx="704850" cy="784781"/>
        </a:xfrm>
        <a:prstGeom prst="rect">
          <a:avLst/>
        </a:prstGeom>
      </xdr:spPr>
    </xdr:pic>
    <xdr:clientData/>
  </xdr:oneCellAnchor>
  <xdr:oneCellAnchor>
    <xdr:from>
      <xdr:col>4</xdr:col>
      <xdr:colOff>66675</xdr:colOff>
      <xdr:row>19</xdr:row>
      <xdr:rowOff>209550</xdr:rowOff>
    </xdr:from>
    <xdr:ext cx="704850" cy="784781"/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0" y="1933575"/>
          <a:ext cx="704850" cy="784781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25</xdr:row>
      <xdr:rowOff>219075</xdr:rowOff>
    </xdr:from>
    <xdr:ext cx="704850" cy="784781"/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486150"/>
          <a:ext cx="704850" cy="784781"/>
        </a:xfrm>
        <a:prstGeom prst="rect">
          <a:avLst/>
        </a:prstGeom>
      </xdr:spPr>
    </xdr:pic>
    <xdr:clientData/>
  </xdr:oneCellAnchor>
  <xdr:oneCellAnchor>
    <xdr:from>
      <xdr:col>4</xdr:col>
      <xdr:colOff>66675</xdr:colOff>
      <xdr:row>25</xdr:row>
      <xdr:rowOff>209550</xdr:rowOff>
    </xdr:from>
    <xdr:ext cx="704850" cy="784781"/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0" y="3476625"/>
          <a:ext cx="704850" cy="784781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31</xdr:row>
      <xdr:rowOff>219075</xdr:rowOff>
    </xdr:from>
    <xdr:ext cx="704850" cy="784781"/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943100"/>
          <a:ext cx="704850" cy="784781"/>
        </a:xfrm>
        <a:prstGeom prst="rect">
          <a:avLst/>
        </a:prstGeom>
      </xdr:spPr>
    </xdr:pic>
    <xdr:clientData/>
  </xdr:oneCellAnchor>
  <xdr:oneCellAnchor>
    <xdr:from>
      <xdr:col>4</xdr:col>
      <xdr:colOff>66675</xdr:colOff>
      <xdr:row>31</xdr:row>
      <xdr:rowOff>209550</xdr:rowOff>
    </xdr:from>
    <xdr:ext cx="704850" cy="784781"/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0" y="1933575"/>
          <a:ext cx="704850" cy="784781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37</xdr:row>
      <xdr:rowOff>219075</xdr:rowOff>
    </xdr:from>
    <xdr:ext cx="704850" cy="784781"/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486150"/>
          <a:ext cx="704850" cy="784781"/>
        </a:xfrm>
        <a:prstGeom prst="rect">
          <a:avLst/>
        </a:prstGeom>
      </xdr:spPr>
    </xdr:pic>
    <xdr:clientData/>
  </xdr:oneCellAnchor>
  <xdr:oneCellAnchor>
    <xdr:from>
      <xdr:col>4</xdr:col>
      <xdr:colOff>66675</xdr:colOff>
      <xdr:row>37</xdr:row>
      <xdr:rowOff>209550</xdr:rowOff>
    </xdr:from>
    <xdr:ext cx="704850" cy="784781"/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0" y="3476625"/>
          <a:ext cx="704850" cy="784781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43</xdr:row>
      <xdr:rowOff>219075</xdr:rowOff>
    </xdr:from>
    <xdr:ext cx="704850" cy="784781"/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8867775"/>
          <a:ext cx="704850" cy="784781"/>
        </a:xfrm>
        <a:prstGeom prst="rect">
          <a:avLst/>
        </a:prstGeom>
      </xdr:spPr>
    </xdr:pic>
    <xdr:clientData/>
  </xdr:oneCellAnchor>
  <xdr:oneCellAnchor>
    <xdr:from>
      <xdr:col>4</xdr:col>
      <xdr:colOff>66675</xdr:colOff>
      <xdr:row>43</xdr:row>
      <xdr:rowOff>209550</xdr:rowOff>
    </xdr:from>
    <xdr:ext cx="704850" cy="784781"/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0" y="8858250"/>
          <a:ext cx="704850" cy="78478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3</xdr:row>
          <xdr:rowOff>19050</xdr:rowOff>
        </xdr:from>
        <xdr:to>
          <xdr:col>9</xdr:col>
          <xdr:colOff>571500</xdr:colOff>
          <xdr:row>6</xdr:row>
          <xdr:rowOff>76200</xdr:rowOff>
        </xdr:to>
        <xdr:sp macro="" textlink="">
          <xdr:nvSpPr>
            <xdr:cNvPr id="9217" name="Spinner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66675</xdr:colOff>
      <xdr:row>1</xdr:row>
      <xdr:rowOff>209550</xdr:rowOff>
    </xdr:from>
    <xdr:to>
      <xdr:col>1</xdr:col>
      <xdr:colOff>771525</xdr:colOff>
      <xdr:row>4</xdr:row>
      <xdr:rowOff>222806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90525"/>
          <a:ext cx="704850" cy="784781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1</xdr:row>
      <xdr:rowOff>219075</xdr:rowOff>
    </xdr:from>
    <xdr:to>
      <xdr:col>5</xdr:col>
      <xdr:colOff>0</xdr:colOff>
      <xdr:row>4</xdr:row>
      <xdr:rowOff>232331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" y="400050"/>
          <a:ext cx="704850" cy="784781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7</xdr:row>
      <xdr:rowOff>219075</xdr:rowOff>
    </xdr:from>
    <xdr:to>
      <xdr:col>1</xdr:col>
      <xdr:colOff>771525</xdr:colOff>
      <xdr:row>10</xdr:row>
      <xdr:rowOff>232331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790700"/>
          <a:ext cx="704850" cy="784781"/>
        </a:xfrm>
        <a:prstGeom prst="rect">
          <a:avLst/>
        </a:prstGeom>
      </xdr:spPr>
    </xdr:pic>
    <xdr:clientData/>
  </xdr:twoCellAnchor>
  <xdr:oneCellAnchor>
    <xdr:from>
      <xdr:col>4</xdr:col>
      <xdr:colOff>66675</xdr:colOff>
      <xdr:row>7</xdr:row>
      <xdr:rowOff>209550</xdr:rowOff>
    </xdr:from>
    <xdr:ext cx="704850" cy="784781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0" y="1781175"/>
          <a:ext cx="704850" cy="784781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13</xdr:row>
      <xdr:rowOff>219075</xdr:rowOff>
    </xdr:from>
    <xdr:ext cx="704850" cy="784781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181350"/>
          <a:ext cx="704850" cy="784781"/>
        </a:xfrm>
        <a:prstGeom prst="rect">
          <a:avLst/>
        </a:prstGeom>
      </xdr:spPr>
    </xdr:pic>
    <xdr:clientData/>
  </xdr:oneCellAnchor>
  <xdr:oneCellAnchor>
    <xdr:from>
      <xdr:col>4</xdr:col>
      <xdr:colOff>66675</xdr:colOff>
      <xdr:row>13</xdr:row>
      <xdr:rowOff>209550</xdr:rowOff>
    </xdr:from>
    <xdr:ext cx="704850" cy="784781"/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0" y="3171825"/>
          <a:ext cx="704850" cy="784781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19</xdr:row>
      <xdr:rowOff>219075</xdr:rowOff>
    </xdr:from>
    <xdr:ext cx="704850" cy="784781"/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4562475"/>
          <a:ext cx="704850" cy="784781"/>
        </a:xfrm>
        <a:prstGeom prst="rect">
          <a:avLst/>
        </a:prstGeom>
      </xdr:spPr>
    </xdr:pic>
    <xdr:clientData/>
  </xdr:oneCellAnchor>
  <xdr:oneCellAnchor>
    <xdr:from>
      <xdr:col>4</xdr:col>
      <xdr:colOff>66675</xdr:colOff>
      <xdr:row>19</xdr:row>
      <xdr:rowOff>209550</xdr:rowOff>
    </xdr:from>
    <xdr:ext cx="704850" cy="784781"/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0" y="4552950"/>
          <a:ext cx="704850" cy="784781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25</xdr:row>
      <xdr:rowOff>219075</xdr:rowOff>
    </xdr:from>
    <xdr:ext cx="704850" cy="784781"/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5953125"/>
          <a:ext cx="704850" cy="784781"/>
        </a:xfrm>
        <a:prstGeom prst="rect">
          <a:avLst/>
        </a:prstGeom>
      </xdr:spPr>
    </xdr:pic>
    <xdr:clientData/>
  </xdr:oneCellAnchor>
  <xdr:oneCellAnchor>
    <xdr:from>
      <xdr:col>4</xdr:col>
      <xdr:colOff>66675</xdr:colOff>
      <xdr:row>25</xdr:row>
      <xdr:rowOff>209550</xdr:rowOff>
    </xdr:from>
    <xdr:ext cx="704850" cy="784781"/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0" y="5943600"/>
          <a:ext cx="704850" cy="78478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3</xdr:row>
          <xdr:rowOff>19050</xdr:rowOff>
        </xdr:from>
        <xdr:to>
          <xdr:col>9</xdr:col>
          <xdr:colOff>571500</xdr:colOff>
          <xdr:row>6</xdr:row>
          <xdr:rowOff>76200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66675</xdr:colOff>
      <xdr:row>1</xdr:row>
      <xdr:rowOff>209550</xdr:rowOff>
    </xdr:from>
    <xdr:to>
      <xdr:col>1</xdr:col>
      <xdr:colOff>771525</xdr:colOff>
      <xdr:row>4</xdr:row>
      <xdr:rowOff>222806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90525"/>
          <a:ext cx="704850" cy="784781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1</xdr:row>
      <xdr:rowOff>219075</xdr:rowOff>
    </xdr:from>
    <xdr:to>
      <xdr:col>5</xdr:col>
      <xdr:colOff>0</xdr:colOff>
      <xdr:row>4</xdr:row>
      <xdr:rowOff>232331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" y="400050"/>
          <a:ext cx="704850" cy="784781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7</xdr:row>
      <xdr:rowOff>219075</xdr:rowOff>
    </xdr:from>
    <xdr:to>
      <xdr:col>1</xdr:col>
      <xdr:colOff>771525</xdr:colOff>
      <xdr:row>10</xdr:row>
      <xdr:rowOff>232331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790700"/>
          <a:ext cx="704850" cy="784781"/>
        </a:xfrm>
        <a:prstGeom prst="rect">
          <a:avLst/>
        </a:prstGeom>
      </xdr:spPr>
    </xdr:pic>
    <xdr:clientData/>
  </xdr:twoCellAnchor>
  <xdr:oneCellAnchor>
    <xdr:from>
      <xdr:col>4</xdr:col>
      <xdr:colOff>66675</xdr:colOff>
      <xdr:row>7</xdr:row>
      <xdr:rowOff>209550</xdr:rowOff>
    </xdr:from>
    <xdr:ext cx="704850" cy="784781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0" y="1781175"/>
          <a:ext cx="704850" cy="78478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3</xdr:row>
          <xdr:rowOff>19050</xdr:rowOff>
        </xdr:from>
        <xdr:to>
          <xdr:col>9</xdr:col>
          <xdr:colOff>571500</xdr:colOff>
          <xdr:row>6</xdr:row>
          <xdr:rowOff>76200</xdr:rowOff>
        </xdr:to>
        <xdr:sp macro="" textlink="">
          <xdr:nvSpPr>
            <xdr:cNvPr id="5121" name="Spinner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66675</xdr:colOff>
      <xdr:row>1</xdr:row>
      <xdr:rowOff>209550</xdr:rowOff>
    </xdr:from>
    <xdr:to>
      <xdr:col>1</xdr:col>
      <xdr:colOff>771525</xdr:colOff>
      <xdr:row>4</xdr:row>
      <xdr:rowOff>222806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90525"/>
          <a:ext cx="704850" cy="784781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1</xdr:row>
      <xdr:rowOff>219075</xdr:rowOff>
    </xdr:from>
    <xdr:to>
      <xdr:col>5</xdr:col>
      <xdr:colOff>0</xdr:colOff>
      <xdr:row>4</xdr:row>
      <xdr:rowOff>232331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" y="400050"/>
          <a:ext cx="704850" cy="7847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3</xdr:row>
          <xdr:rowOff>19050</xdr:rowOff>
        </xdr:from>
        <xdr:to>
          <xdr:col>9</xdr:col>
          <xdr:colOff>571500</xdr:colOff>
          <xdr:row>6</xdr:row>
          <xdr:rowOff>76200</xdr:rowOff>
        </xdr:to>
        <xdr:sp macro="" textlink="">
          <xdr:nvSpPr>
            <xdr:cNvPr id="8193" name="Spinner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66675</xdr:colOff>
      <xdr:row>1</xdr:row>
      <xdr:rowOff>209550</xdr:rowOff>
    </xdr:from>
    <xdr:to>
      <xdr:col>2</xdr:col>
      <xdr:colOff>76200</xdr:colOff>
      <xdr:row>4</xdr:row>
      <xdr:rowOff>222806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90525"/>
          <a:ext cx="704850" cy="784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81"/>
  <sheetViews>
    <sheetView tabSelected="1" topLeftCell="A31" zoomScaleNormal="100" zoomScaleSheetLayoutView="130" workbookViewId="0">
      <selection activeCell="C34" sqref="C34"/>
    </sheetView>
  </sheetViews>
  <sheetFormatPr defaultRowHeight="15" x14ac:dyDescent="0.25"/>
  <cols>
    <col min="1" max="1" width="7" style="4" customWidth="1"/>
    <col min="2" max="2" width="25.28515625" style="4" customWidth="1"/>
    <col min="3" max="3" width="28.5703125" style="1" customWidth="1"/>
    <col min="4" max="4" width="31.5703125" style="4" bestFit="1" customWidth="1"/>
    <col min="5" max="5" width="31.5703125" style="4" customWidth="1"/>
    <col min="6" max="6" width="12" style="4" customWidth="1"/>
    <col min="7" max="7" width="29.85546875" style="1" bestFit="1" customWidth="1"/>
    <col min="8" max="8" width="15" style="1" bestFit="1" customWidth="1"/>
    <col min="9" max="16384" width="9.140625" style="1"/>
  </cols>
  <sheetData>
    <row r="1" spans="1:8" x14ac:dyDescent="0.25">
      <c r="A1" s="24" t="s">
        <v>0</v>
      </c>
      <c r="B1" s="24" t="s">
        <v>7</v>
      </c>
      <c r="C1" s="24" t="s">
        <v>6</v>
      </c>
      <c r="D1" s="24" t="s">
        <v>4</v>
      </c>
      <c r="E1" s="24" t="s">
        <v>17</v>
      </c>
      <c r="F1" s="24" t="s">
        <v>18</v>
      </c>
      <c r="G1" s="24" t="s">
        <v>5</v>
      </c>
      <c r="H1" s="2" t="s">
        <v>16</v>
      </c>
    </row>
    <row r="2" spans="1:8" ht="24" x14ac:dyDescent="0.25">
      <c r="A2" s="2">
        <v>1</v>
      </c>
      <c r="B2" s="24" t="s">
        <v>37</v>
      </c>
      <c r="C2" s="40" t="s">
        <v>38</v>
      </c>
      <c r="D2" s="41" t="s">
        <v>39</v>
      </c>
      <c r="E2" s="24" t="s">
        <v>15</v>
      </c>
      <c r="F2" s="24">
        <v>2020</v>
      </c>
      <c r="G2" s="24" t="s">
        <v>21</v>
      </c>
      <c r="H2" s="25" t="s">
        <v>42</v>
      </c>
    </row>
    <row r="3" spans="1:8" ht="24" x14ac:dyDescent="0.25">
      <c r="A3" s="2">
        <v>2</v>
      </c>
      <c r="B3" s="24" t="s">
        <v>37</v>
      </c>
      <c r="C3" s="40" t="s">
        <v>38</v>
      </c>
      <c r="D3" s="41" t="s">
        <v>39</v>
      </c>
      <c r="E3" s="24" t="s">
        <v>15</v>
      </c>
      <c r="F3" s="24">
        <v>2020</v>
      </c>
      <c r="G3" s="24" t="s">
        <v>21</v>
      </c>
      <c r="H3" s="25" t="s">
        <v>43</v>
      </c>
    </row>
    <row r="4" spans="1:8" ht="24" x14ac:dyDescent="0.25">
      <c r="A4" s="2">
        <v>3</v>
      </c>
      <c r="B4" s="24" t="s">
        <v>37</v>
      </c>
      <c r="C4" s="40" t="s">
        <v>38</v>
      </c>
      <c r="D4" s="41" t="s">
        <v>39</v>
      </c>
      <c r="E4" s="24" t="s">
        <v>15</v>
      </c>
      <c r="F4" s="24">
        <v>2020</v>
      </c>
      <c r="G4" s="24" t="s">
        <v>48</v>
      </c>
      <c r="H4" s="25" t="s">
        <v>44</v>
      </c>
    </row>
    <row r="5" spans="1:8" ht="24" x14ac:dyDescent="0.25">
      <c r="A5" s="2">
        <v>4</v>
      </c>
      <c r="B5" s="24" t="s">
        <v>37</v>
      </c>
      <c r="C5" s="40" t="s">
        <v>38</v>
      </c>
      <c r="D5" s="41" t="s">
        <v>39</v>
      </c>
      <c r="E5" s="24" t="s">
        <v>15</v>
      </c>
      <c r="F5" s="24">
        <v>2020</v>
      </c>
      <c r="G5" s="24" t="s">
        <v>47</v>
      </c>
      <c r="H5" s="25" t="s">
        <v>45</v>
      </c>
    </row>
    <row r="6" spans="1:8" x14ac:dyDescent="0.25">
      <c r="A6" s="2">
        <v>5</v>
      </c>
      <c r="B6" s="2" t="s">
        <v>8</v>
      </c>
      <c r="C6" s="27" t="s">
        <v>36</v>
      </c>
      <c r="D6" s="2" t="s">
        <v>9</v>
      </c>
      <c r="E6" s="2" t="s">
        <v>15</v>
      </c>
      <c r="F6" s="2">
        <v>2023</v>
      </c>
      <c r="G6" s="2" t="s">
        <v>10</v>
      </c>
      <c r="H6" s="25" t="s">
        <v>13</v>
      </c>
    </row>
    <row r="7" spans="1:8" x14ac:dyDescent="0.25">
      <c r="A7" s="2">
        <v>6</v>
      </c>
      <c r="B7" s="2" t="s">
        <v>19</v>
      </c>
      <c r="C7" s="2" t="s">
        <v>20</v>
      </c>
      <c r="D7" s="2" t="s">
        <v>9</v>
      </c>
      <c r="E7" s="2" t="s">
        <v>15</v>
      </c>
      <c r="F7" s="2">
        <v>2023</v>
      </c>
      <c r="G7" s="2" t="s">
        <v>21</v>
      </c>
      <c r="H7" s="25" t="s">
        <v>22</v>
      </c>
    </row>
    <row r="8" spans="1:8" x14ac:dyDescent="0.25">
      <c r="A8" s="2">
        <v>7</v>
      </c>
      <c r="B8" s="2" t="s">
        <v>19</v>
      </c>
      <c r="C8" s="2" t="s">
        <v>20</v>
      </c>
      <c r="D8" s="2" t="s">
        <v>9</v>
      </c>
      <c r="E8" s="2" t="s">
        <v>15</v>
      </c>
      <c r="F8" s="2">
        <v>2023</v>
      </c>
      <c r="G8" s="2" t="s">
        <v>21</v>
      </c>
      <c r="H8" s="25" t="s">
        <v>23</v>
      </c>
    </row>
    <row r="9" spans="1:8" x14ac:dyDescent="0.25">
      <c r="A9" s="2">
        <v>8</v>
      </c>
      <c r="B9" s="2" t="s">
        <v>19</v>
      </c>
      <c r="C9" s="2" t="s">
        <v>20</v>
      </c>
      <c r="D9" s="2" t="s">
        <v>9</v>
      </c>
      <c r="E9" s="2" t="s">
        <v>15</v>
      </c>
      <c r="F9" s="2">
        <v>2023</v>
      </c>
      <c r="G9" s="2" t="s">
        <v>21</v>
      </c>
      <c r="H9" s="25" t="s">
        <v>24</v>
      </c>
    </row>
    <row r="10" spans="1:8" x14ac:dyDescent="0.25">
      <c r="A10" s="2">
        <v>9</v>
      </c>
      <c r="B10" s="2" t="s">
        <v>19</v>
      </c>
      <c r="C10" s="2" t="s">
        <v>20</v>
      </c>
      <c r="D10" s="2" t="s">
        <v>9</v>
      </c>
      <c r="E10" s="2" t="s">
        <v>15</v>
      </c>
      <c r="F10" s="2">
        <v>2023</v>
      </c>
      <c r="G10" s="2" t="s">
        <v>21</v>
      </c>
      <c r="H10" s="25" t="s">
        <v>25</v>
      </c>
    </row>
    <row r="11" spans="1:8" x14ac:dyDescent="0.25">
      <c r="A11" s="2">
        <v>10</v>
      </c>
      <c r="B11" s="2" t="s">
        <v>19</v>
      </c>
      <c r="C11" s="2" t="s">
        <v>20</v>
      </c>
      <c r="D11" s="2" t="s">
        <v>9</v>
      </c>
      <c r="E11" s="2" t="s">
        <v>15</v>
      </c>
      <c r="F11" s="2">
        <v>2023</v>
      </c>
      <c r="G11" s="2" t="s">
        <v>21</v>
      </c>
      <c r="H11" s="25" t="s">
        <v>27</v>
      </c>
    </row>
    <row r="12" spans="1:8" x14ac:dyDescent="0.25">
      <c r="A12" s="2">
        <v>11</v>
      </c>
      <c r="B12" s="2" t="s">
        <v>19</v>
      </c>
      <c r="C12" s="2" t="s">
        <v>20</v>
      </c>
      <c r="D12" s="2" t="s">
        <v>9</v>
      </c>
      <c r="E12" s="2" t="s">
        <v>15</v>
      </c>
      <c r="F12" s="2">
        <v>2023</v>
      </c>
      <c r="G12" s="2" t="s">
        <v>21</v>
      </c>
      <c r="H12" s="25" t="s">
        <v>26</v>
      </c>
    </row>
    <row r="13" spans="1:8" x14ac:dyDescent="0.25">
      <c r="A13" s="2">
        <v>12</v>
      </c>
      <c r="B13" s="2" t="s">
        <v>19</v>
      </c>
      <c r="C13" s="2" t="s">
        <v>20</v>
      </c>
      <c r="D13" s="2" t="s">
        <v>9</v>
      </c>
      <c r="E13" s="2" t="s">
        <v>15</v>
      </c>
      <c r="F13" s="2">
        <v>2023</v>
      </c>
      <c r="G13" s="2" t="s">
        <v>21</v>
      </c>
      <c r="H13" s="25" t="s">
        <v>28</v>
      </c>
    </row>
    <row r="14" spans="1:8" x14ac:dyDescent="0.25">
      <c r="A14" s="2">
        <v>13</v>
      </c>
      <c r="B14" s="2" t="s">
        <v>19</v>
      </c>
      <c r="C14" s="2" t="s">
        <v>20</v>
      </c>
      <c r="D14" s="2" t="s">
        <v>9</v>
      </c>
      <c r="E14" s="2" t="s">
        <v>15</v>
      </c>
      <c r="F14" s="2">
        <v>2023</v>
      </c>
      <c r="G14" s="2" t="s">
        <v>21</v>
      </c>
      <c r="H14" s="25" t="s">
        <v>29</v>
      </c>
    </row>
    <row r="15" spans="1:8" x14ac:dyDescent="0.25">
      <c r="A15" s="2">
        <v>14</v>
      </c>
      <c r="B15" s="2" t="s">
        <v>19</v>
      </c>
      <c r="C15" s="2" t="s">
        <v>20</v>
      </c>
      <c r="D15" s="2" t="s">
        <v>9</v>
      </c>
      <c r="E15" s="2" t="s">
        <v>15</v>
      </c>
      <c r="F15" s="2">
        <v>2023</v>
      </c>
      <c r="G15" s="2" t="s">
        <v>21</v>
      </c>
      <c r="H15" s="25" t="s">
        <v>30</v>
      </c>
    </row>
    <row r="16" spans="1:8" x14ac:dyDescent="0.25">
      <c r="A16" s="2">
        <v>15</v>
      </c>
      <c r="B16" s="2" t="s">
        <v>19</v>
      </c>
      <c r="C16" s="2" t="s">
        <v>20</v>
      </c>
      <c r="D16" s="2" t="s">
        <v>9</v>
      </c>
      <c r="E16" s="2" t="s">
        <v>15</v>
      </c>
      <c r="F16" s="2">
        <v>2023</v>
      </c>
      <c r="G16" s="2" t="s">
        <v>21</v>
      </c>
      <c r="H16" s="25" t="s">
        <v>31</v>
      </c>
    </row>
    <row r="17" spans="1:8" x14ac:dyDescent="0.25">
      <c r="A17" s="2">
        <v>16</v>
      </c>
      <c r="B17" s="2" t="s">
        <v>19</v>
      </c>
      <c r="C17" s="2" t="s">
        <v>20</v>
      </c>
      <c r="D17" s="2" t="s">
        <v>9</v>
      </c>
      <c r="E17" s="2" t="s">
        <v>15</v>
      </c>
      <c r="F17" s="2">
        <v>2023</v>
      </c>
      <c r="G17" s="2" t="s">
        <v>21</v>
      </c>
      <c r="H17" s="25" t="s">
        <v>32</v>
      </c>
    </row>
    <row r="18" spans="1:8" x14ac:dyDescent="0.25">
      <c r="A18" s="2">
        <v>17</v>
      </c>
      <c r="B18" s="2" t="s">
        <v>19</v>
      </c>
      <c r="C18" s="2" t="s">
        <v>20</v>
      </c>
      <c r="D18" s="2" t="s">
        <v>9</v>
      </c>
      <c r="E18" s="2" t="s">
        <v>15</v>
      </c>
      <c r="F18" s="2">
        <v>2023</v>
      </c>
      <c r="G18" s="2" t="s">
        <v>21</v>
      </c>
      <c r="H18" s="25" t="s">
        <v>33</v>
      </c>
    </row>
    <row r="19" spans="1:8" x14ac:dyDescent="0.25">
      <c r="A19" s="2">
        <v>18</v>
      </c>
      <c r="B19" s="2" t="s">
        <v>19</v>
      </c>
      <c r="C19" s="2" t="s">
        <v>20</v>
      </c>
      <c r="D19" s="2" t="s">
        <v>9</v>
      </c>
      <c r="E19" s="2" t="s">
        <v>15</v>
      </c>
      <c r="F19" s="2">
        <v>2023</v>
      </c>
      <c r="G19" s="2" t="s">
        <v>21</v>
      </c>
      <c r="H19" s="25" t="s">
        <v>34</v>
      </c>
    </row>
    <row r="20" spans="1:8" ht="24" x14ac:dyDescent="0.25">
      <c r="A20" s="2">
        <v>19</v>
      </c>
      <c r="B20" s="24" t="s">
        <v>37</v>
      </c>
      <c r="C20" s="40" t="s">
        <v>38</v>
      </c>
      <c r="D20" s="41" t="s">
        <v>39</v>
      </c>
      <c r="E20" s="24" t="s">
        <v>15</v>
      </c>
      <c r="F20" s="24">
        <v>2020</v>
      </c>
      <c r="G20" s="24" t="s">
        <v>21</v>
      </c>
      <c r="H20" s="25" t="s">
        <v>40</v>
      </c>
    </row>
    <row r="21" spans="1:8" ht="24" x14ac:dyDescent="0.25">
      <c r="A21" s="2">
        <v>20</v>
      </c>
      <c r="B21" s="24" t="s">
        <v>37</v>
      </c>
      <c r="C21" s="40" t="s">
        <v>38</v>
      </c>
      <c r="D21" s="41" t="s">
        <v>39</v>
      </c>
      <c r="E21" s="24" t="s">
        <v>15</v>
      </c>
      <c r="F21" s="24">
        <v>2020</v>
      </c>
      <c r="G21" s="24" t="s">
        <v>21</v>
      </c>
      <c r="H21" s="25" t="s">
        <v>41</v>
      </c>
    </row>
    <row r="22" spans="1:8" ht="24" x14ac:dyDescent="0.25">
      <c r="A22" s="2">
        <v>21</v>
      </c>
      <c r="B22" s="24" t="s">
        <v>37</v>
      </c>
      <c r="C22" s="40" t="s">
        <v>38</v>
      </c>
      <c r="D22" s="41" t="s">
        <v>39</v>
      </c>
      <c r="E22" s="24" t="s">
        <v>15</v>
      </c>
      <c r="F22" s="24">
        <v>2020</v>
      </c>
      <c r="G22" s="24" t="s">
        <v>21</v>
      </c>
      <c r="H22" s="25" t="s">
        <v>42</v>
      </c>
    </row>
    <row r="23" spans="1:8" ht="24" x14ac:dyDescent="0.25">
      <c r="A23" s="2">
        <v>22</v>
      </c>
      <c r="B23" s="24" t="s">
        <v>37</v>
      </c>
      <c r="C23" s="40" t="s">
        <v>38</v>
      </c>
      <c r="D23" s="41" t="s">
        <v>39</v>
      </c>
      <c r="E23" s="24" t="s">
        <v>15</v>
      </c>
      <c r="F23" s="24">
        <v>2020</v>
      </c>
      <c r="G23" s="24" t="s">
        <v>21</v>
      </c>
      <c r="H23" s="25" t="s">
        <v>43</v>
      </c>
    </row>
    <row r="24" spans="1:8" ht="24" x14ac:dyDescent="0.25">
      <c r="A24" s="2">
        <v>23</v>
      </c>
      <c r="B24" s="24" t="s">
        <v>37</v>
      </c>
      <c r="C24" s="40" t="s">
        <v>38</v>
      </c>
      <c r="D24" s="41" t="s">
        <v>39</v>
      </c>
      <c r="E24" s="24" t="s">
        <v>15</v>
      </c>
      <c r="F24" s="24">
        <v>2020</v>
      </c>
      <c r="G24" s="24" t="s">
        <v>46</v>
      </c>
      <c r="H24" s="25" t="s">
        <v>44</v>
      </c>
    </row>
    <row r="25" spans="1:8" ht="24" x14ac:dyDescent="0.25">
      <c r="A25" s="2">
        <v>24</v>
      </c>
      <c r="B25" s="24" t="s">
        <v>37</v>
      </c>
      <c r="C25" s="40" t="s">
        <v>38</v>
      </c>
      <c r="D25" s="41" t="s">
        <v>39</v>
      </c>
      <c r="E25" s="24" t="s">
        <v>15</v>
      </c>
      <c r="F25" s="24">
        <v>2020</v>
      </c>
      <c r="G25" s="24" t="s">
        <v>47</v>
      </c>
      <c r="H25" s="25" t="s">
        <v>45</v>
      </c>
    </row>
    <row r="26" spans="1:8" x14ac:dyDescent="0.25">
      <c r="A26" s="2">
        <v>25</v>
      </c>
      <c r="B26" s="2" t="s">
        <v>49</v>
      </c>
      <c r="C26" s="3" t="s">
        <v>50</v>
      </c>
      <c r="D26" s="2" t="s">
        <v>53</v>
      </c>
      <c r="E26" s="24" t="s">
        <v>15</v>
      </c>
      <c r="F26" s="2">
        <v>2023</v>
      </c>
      <c r="G26" s="2" t="s">
        <v>51</v>
      </c>
      <c r="H26" s="3" t="s">
        <v>52</v>
      </c>
    </row>
    <row r="27" spans="1:8" x14ac:dyDescent="0.25">
      <c r="A27" s="2">
        <v>26</v>
      </c>
      <c r="B27" s="2" t="s">
        <v>19</v>
      </c>
      <c r="C27" s="3" t="s">
        <v>54</v>
      </c>
      <c r="D27" s="2" t="s">
        <v>53</v>
      </c>
      <c r="E27" s="24" t="s">
        <v>15</v>
      </c>
      <c r="F27" s="2">
        <v>2023</v>
      </c>
      <c r="G27" s="2" t="s">
        <v>51</v>
      </c>
      <c r="H27" s="25" t="s">
        <v>60</v>
      </c>
    </row>
    <row r="28" spans="1:8" x14ac:dyDescent="0.25">
      <c r="A28" s="2">
        <v>27</v>
      </c>
      <c r="B28" s="2" t="s">
        <v>19</v>
      </c>
      <c r="C28" s="3" t="s">
        <v>54</v>
      </c>
      <c r="D28" s="2" t="s">
        <v>53</v>
      </c>
      <c r="E28" s="24" t="s">
        <v>15</v>
      </c>
      <c r="F28" s="2">
        <v>2023</v>
      </c>
      <c r="G28" s="2" t="s">
        <v>55</v>
      </c>
      <c r="H28" s="25" t="s">
        <v>61</v>
      </c>
    </row>
    <row r="29" spans="1:8" x14ac:dyDescent="0.25">
      <c r="A29" s="2">
        <v>28</v>
      </c>
      <c r="B29" s="2" t="s">
        <v>8</v>
      </c>
      <c r="C29" s="3" t="s">
        <v>56</v>
      </c>
      <c r="D29" s="2" t="s">
        <v>53</v>
      </c>
      <c r="E29" s="24" t="s">
        <v>15</v>
      </c>
      <c r="F29" s="2">
        <v>2023</v>
      </c>
      <c r="G29" s="2" t="s">
        <v>57</v>
      </c>
      <c r="H29" s="25" t="s">
        <v>52</v>
      </c>
    </row>
    <row r="30" spans="1:8" x14ac:dyDescent="0.25">
      <c r="A30" s="2">
        <v>29</v>
      </c>
      <c r="B30" s="2" t="s">
        <v>58</v>
      </c>
      <c r="C30" s="3" t="s">
        <v>59</v>
      </c>
      <c r="D30" s="2" t="s">
        <v>53</v>
      </c>
      <c r="E30" s="24" t="s">
        <v>15</v>
      </c>
      <c r="F30" s="2">
        <v>2023</v>
      </c>
      <c r="G30" s="2" t="s">
        <v>57</v>
      </c>
      <c r="H30" s="25" t="s">
        <v>52</v>
      </c>
    </row>
    <row r="31" spans="1:8" x14ac:dyDescent="0.25">
      <c r="A31" s="2">
        <v>30</v>
      </c>
      <c r="B31" s="2" t="s">
        <v>63</v>
      </c>
      <c r="C31" s="3" t="s">
        <v>62</v>
      </c>
      <c r="D31" s="2" t="s">
        <v>53</v>
      </c>
      <c r="E31" s="24" t="s">
        <v>15</v>
      </c>
      <c r="F31" s="2">
        <v>2023</v>
      </c>
      <c r="G31" s="2" t="s">
        <v>64</v>
      </c>
      <c r="H31" s="25" t="s">
        <v>60</v>
      </c>
    </row>
    <row r="32" spans="1:8" x14ac:dyDescent="0.25">
      <c r="A32" s="2">
        <v>31</v>
      </c>
      <c r="B32" s="2" t="s">
        <v>63</v>
      </c>
      <c r="C32" s="3" t="s">
        <v>62</v>
      </c>
      <c r="D32" s="2" t="s">
        <v>53</v>
      </c>
      <c r="E32" s="24" t="s">
        <v>15</v>
      </c>
      <c r="F32" s="2">
        <v>2023</v>
      </c>
      <c r="G32" s="2" t="s">
        <v>64</v>
      </c>
      <c r="H32" s="25" t="s">
        <v>61</v>
      </c>
    </row>
    <row r="33" spans="1:8" x14ac:dyDescent="0.25">
      <c r="A33" s="2">
        <v>32</v>
      </c>
      <c r="B33" s="2" t="s">
        <v>65</v>
      </c>
      <c r="C33" s="3" t="s">
        <v>66</v>
      </c>
      <c r="D33" s="2" t="s">
        <v>53</v>
      </c>
      <c r="E33" s="24" t="s">
        <v>15</v>
      </c>
      <c r="F33" s="2">
        <v>2023</v>
      </c>
      <c r="G33" s="2" t="s">
        <v>67</v>
      </c>
      <c r="H33" s="3" t="s">
        <v>52</v>
      </c>
    </row>
    <row r="34" spans="1:8" x14ac:dyDescent="0.25">
      <c r="A34" s="2">
        <v>33</v>
      </c>
      <c r="B34" s="2" t="s">
        <v>19</v>
      </c>
      <c r="C34" s="2" t="s">
        <v>79</v>
      </c>
      <c r="D34" s="2" t="s">
        <v>53</v>
      </c>
      <c r="E34" s="2" t="s">
        <v>15</v>
      </c>
      <c r="F34" s="2">
        <v>2023</v>
      </c>
      <c r="G34" s="2" t="s">
        <v>69</v>
      </c>
      <c r="H34" s="25" t="s">
        <v>68</v>
      </c>
    </row>
    <row r="35" spans="1:8" x14ac:dyDescent="0.25">
      <c r="A35" s="2">
        <v>34</v>
      </c>
      <c r="B35" s="2" t="s">
        <v>19</v>
      </c>
      <c r="C35" s="2" t="s">
        <v>79</v>
      </c>
      <c r="D35" s="2" t="s">
        <v>53</v>
      </c>
      <c r="E35" s="2" t="s">
        <v>15</v>
      </c>
      <c r="F35" s="2">
        <v>2023</v>
      </c>
      <c r="G35" s="2" t="s">
        <v>69</v>
      </c>
      <c r="H35" s="25" t="s">
        <v>70</v>
      </c>
    </row>
    <row r="36" spans="1:8" x14ac:dyDescent="0.25">
      <c r="A36" s="2">
        <v>35</v>
      </c>
      <c r="B36" s="2" t="s">
        <v>19</v>
      </c>
      <c r="C36" s="2" t="s">
        <v>79</v>
      </c>
      <c r="D36" s="2" t="s">
        <v>53</v>
      </c>
      <c r="E36" s="2" t="s">
        <v>15</v>
      </c>
      <c r="F36" s="2">
        <v>2023</v>
      </c>
      <c r="G36" s="2" t="s">
        <v>69</v>
      </c>
      <c r="H36" s="25" t="s">
        <v>71</v>
      </c>
    </row>
    <row r="37" spans="1:8" x14ac:dyDescent="0.25">
      <c r="A37" s="2">
        <v>36</v>
      </c>
      <c r="B37" s="2" t="s">
        <v>19</v>
      </c>
      <c r="C37" s="2" t="s">
        <v>79</v>
      </c>
      <c r="D37" s="2" t="s">
        <v>53</v>
      </c>
      <c r="E37" s="2" t="s">
        <v>15</v>
      </c>
      <c r="F37" s="2">
        <v>2023</v>
      </c>
      <c r="G37" s="2" t="s">
        <v>69</v>
      </c>
      <c r="H37" s="25" t="s">
        <v>72</v>
      </c>
    </row>
    <row r="38" spans="1:8" x14ac:dyDescent="0.25">
      <c r="A38" s="2">
        <v>37</v>
      </c>
      <c r="B38" s="2" t="s">
        <v>19</v>
      </c>
      <c r="C38" s="2" t="s">
        <v>79</v>
      </c>
      <c r="D38" s="2" t="s">
        <v>53</v>
      </c>
      <c r="E38" s="2" t="s">
        <v>15</v>
      </c>
      <c r="F38" s="2">
        <v>2023</v>
      </c>
      <c r="G38" s="2" t="s">
        <v>69</v>
      </c>
      <c r="H38" s="25" t="s">
        <v>73</v>
      </c>
    </row>
    <row r="39" spans="1:8" x14ac:dyDescent="0.25">
      <c r="A39" s="2">
        <v>38</v>
      </c>
      <c r="B39" s="2" t="s">
        <v>19</v>
      </c>
      <c r="C39" s="2" t="s">
        <v>79</v>
      </c>
      <c r="D39" s="2" t="s">
        <v>53</v>
      </c>
      <c r="E39" s="2" t="s">
        <v>15</v>
      </c>
      <c r="F39" s="2">
        <v>2023</v>
      </c>
      <c r="G39" s="2" t="s">
        <v>69</v>
      </c>
      <c r="H39" s="25" t="s">
        <v>74</v>
      </c>
    </row>
    <row r="40" spans="1:8" x14ac:dyDescent="0.25">
      <c r="A40" s="2">
        <v>39</v>
      </c>
      <c r="B40" s="2" t="s">
        <v>19</v>
      </c>
      <c r="C40" s="2" t="s">
        <v>79</v>
      </c>
      <c r="D40" s="2" t="s">
        <v>53</v>
      </c>
      <c r="E40" s="2" t="s">
        <v>15</v>
      </c>
      <c r="F40" s="2">
        <v>2023</v>
      </c>
      <c r="G40" s="2" t="s">
        <v>69</v>
      </c>
      <c r="H40" s="25" t="s">
        <v>75</v>
      </c>
    </row>
    <row r="41" spans="1:8" x14ac:dyDescent="0.25">
      <c r="A41" s="2">
        <v>40</v>
      </c>
      <c r="B41" s="2" t="s">
        <v>19</v>
      </c>
      <c r="C41" s="2" t="s">
        <v>79</v>
      </c>
      <c r="D41" s="2" t="s">
        <v>53</v>
      </c>
      <c r="E41" s="2" t="s">
        <v>15</v>
      </c>
      <c r="F41" s="2">
        <v>2023</v>
      </c>
      <c r="G41" s="2" t="s">
        <v>69</v>
      </c>
      <c r="H41" s="25" t="s">
        <v>76</v>
      </c>
    </row>
    <row r="42" spans="1:8" x14ac:dyDescent="0.25">
      <c r="A42" s="2">
        <v>41</v>
      </c>
      <c r="B42" s="2" t="s">
        <v>19</v>
      </c>
      <c r="C42" s="2" t="s">
        <v>79</v>
      </c>
      <c r="D42" s="2" t="s">
        <v>53</v>
      </c>
      <c r="E42" s="2" t="s">
        <v>15</v>
      </c>
      <c r="F42" s="2">
        <v>2023</v>
      </c>
      <c r="G42" s="2" t="s">
        <v>69</v>
      </c>
      <c r="H42" s="25" t="s">
        <v>77</v>
      </c>
    </row>
    <row r="43" spans="1:8" x14ac:dyDescent="0.25">
      <c r="A43" s="2">
        <v>42</v>
      </c>
      <c r="B43" s="2" t="s">
        <v>19</v>
      </c>
      <c r="C43" s="2" t="s">
        <v>79</v>
      </c>
      <c r="D43" s="2" t="s">
        <v>53</v>
      </c>
      <c r="E43" s="2" t="s">
        <v>15</v>
      </c>
      <c r="F43" s="2">
        <v>2023</v>
      </c>
      <c r="G43" s="2" t="s">
        <v>69</v>
      </c>
      <c r="H43" s="25" t="s">
        <v>78</v>
      </c>
    </row>
    <row r="44" spans="1:8" x14ac:dyDescent="0.25">
      <c r="A44" s="2">
        <v>43</v>
      </c>
      <c r="B44" s="2" t="s">
        <v>80</v>
      </c>
      <c r="C44" s="3" t="s">
        <v>84</v>
      </c>
      <c r="D44" s="2" t="s">
        <v>53</v>
      </c>
      <c r="E44" s="2" t="s">
        <v>15</v>
      </c>
      <c r="F44" s="2">
        <v>2023</v>
      </c>
      <c r="G44" s="3" t="s">
        <v>81</v>
      </c>
      <c r="H44" s="25" t="s">
        <v>60</v>
      </c>
    </row>
    <row r="45" spans="1:8" x14ac:dyDescent="0.25">
      <c r="A45" s="2">
        <v>44</v>
      </c>
      <c r="B45" s="2" t="s">
        <v>80</v>
      </c>
      <c r="C45" s="3" t="s">
        <v>84</v>
      </c>
      <c r="D45" s="2" t="s">
        <v>53</v>
      </c>
      <c r="E45" s="2" t="s">
        <v>15</v>
      </c>
      <c r="F45" s="2">
        <v>2023</v>
      </c>
      <c r="G45" s="3" t="s">
        <v>82</v>
      </c>
      <c r="H45" s="25" t="s">
        <v>61</v>
      </c>
    </row>
    <row r="46" spans="1:8" x14ac:dyDescent="0.25">
      <c r="A46" s="2">
        <v>45</v>
      </c>
      <c r="B46" s="2" t="s">
        <v>83</v>
      </c>
      <c r="C46" s="3" t="s">
        <v>88</v>
      </c>
      <c r="D46" s="2" t="s">
        <v>53</v>
      </c>
      <c r="E46" s="2" t="s">
        <v>15</v>
      </c>
      <c r="F46" s="2">
        <v>2023</v>
      </c>
      <c r="G46" s="3" t="s">
        <v>10</v>
      </c>
      <c r="H46" s="3" t="s">
        <v>52</v>
      </c>
    </row>
    <row r="47" spans="1:8" x14ac:dyDescent="0.25">
      <c r="A47" s="2">
        <v>46</v>
      </c>
      <c r="B47" s="2" t="s">
        <v>89</v>
      </c>
      <c r="C47" s="3" t="s">
        <v>85</v>
      </c>
      <c r="D47" s="2" t="s">
        <v>86</v>
      </c>
      <c r="E47" s="2" t="s">
        <v>15</v>
      </c>
      <c r="F47" s="2">
        <v>2023</v>
      </c>
      <c r="G47" s="3" t="s">
        <v>87</v>
      </c>
      <c r="H47" s="3" t="s">
        <v>52</v>
      </c>
    </row>
    <row r="48" spans="1:8" x14ac:dyDescent="0.25">
      <c r="A48" s="2">
        <v>47</v>
      </c>
      <c r="B48" s="2" t="s">
        <v>19</v>
      </c>
      <c r="C48" s="3" t="s">
        <v>91</v>
      </c>
      <c r="D48" s="2" t="s">
        <v>86</v>
      </c>
      <c r="E48" s="2" t="s">
        <v>15</v>
      </c>
      <c r="F48" s="2">
        <v>2023</v>
      </c>
      <c r="G48" s="3" t="s">
        <v>90</v>
      </c>
      <c r="H48" s="3" t="s">
        <v>52</v>
      </c>
    </row>
    <row r="49" spans="1:8" x14ac:dyDescent="0.25">
      <c r="A49" s="2"/>
      <c r="B49" s="2"/>
      <c r="C49" s="3"/>
      <c r="D49" s="2"/>
      <c r="E49" s="2"/>
      <c r="F49" s="2"/>
      <c r="G49" s="3"/>
      <c r="H49" s="3"/>
    </row>
    <row r="50" spans="1:8" x14ac:dyDescent="0.25">
      <c r="A50" s="2"/>
      <c r="B50" s="2"/>
      <c r="C50" s="3"/>
      <c r="D50" s="2"/>
      <c r="E50" s="2"/>
      <c r="F50" s="2"/>
      <c r="G50" s="3"/>
      <c r="H50" s="3"/>
    </row>
    <row r="51" spans="1:8" x14ac:dyDescent="0.25">
      <c r="A51" s="2"/>
      <c r="B51" s="2"/>
      <c r="C51" s="3"/>
      <c r="D51" s="2"/>
      <c r="E51" s="2"/>
      <c r="F51" s="2"/>
      <c r="G51" s="3"/>
      <c r="H51" s="3"/>
    </row>
    <row r="52" spans="1:8" x14ac:dyDescent="0.25">
      <c r="A52" s="2"/>
      <c r="B52" s="2"/>
      <c r="C52" s="3"/>
      <c r="D52" s="2"/>
      <c r="E52" s="2"/>
      <c r="F52" s="2"/>
      <c r="G52" s="3"/>
      <c r="H52" s="3"/>
    </row>
    <row r="53" spans="1:8" x14ac:dyDescent="0.25">
      <c r="A53" s="2"/>
      <c r="B53" s="2"/>
      <c r="C53" s="3"/>
      <c r="D53" s="2"/>
      <c r="E53" s="2"/>
      <c r="F53" s="2"/>
      <c r="G53" s="3"/>
      <c r="H53" s="3"/>
    </row>
    <row r="54" spans="1:8" x14ac:dyDescent="0.25">
      <c r="A54" s="2"/>
      <c r="B54" s="2"/>
      <c r="C54" s="3"/>
      <c r="D54" s="2"/>
      <c r="E54" s="2"/>
      <c r="F54" s="2"/>
      <c r="G54" s="3"/>
      <c r="H54" s="3"/>
    </row>
    <row r="55" spans="1:8" x14ac:dyDescent="0.25">
      <c r="A55" s="2"/>
      <c r="B55" s="2"/>
      <c r="C55" s="3"/>
      <c r="D55" s="2"/>
      <c r="E55" s="2"/>
      <c r="F55" s="2"/>
      <c r="G55" s="3"/>
      <c r="H55" s="3"/>
    </row>
    <row r="56" spans="1:8" x14ac:dyDescent="0.25">
      <c r="A56" s="2"/>
      <c r="B56" s="2"/>
      <c r="C56" s="3"/>
      <c r="D56" s="2"/>
      <c r="E56" s="2"/>
      <c r="F56" s="2"/>
      <c r="G56" s="3"/>
      <c r="H56" s="3"/>
    </row>
    <row r="57" spans="1:8" x14ac:dyDescent="0.25">
      <c r="A57" s="2"/>
      <c r="B57" s="2"/>
      <c r="C57" s="3"/>
      <c r="D57" s="2"/>
      <c r="E57" s="2"/>
      <c r="F57" s="2"/>
      <c r="G57" s="3"/>
      <c r="H57" s="3"/>
    </row>
    <row r="58" spans="1:8" x14ac:dyDescent="0.25">
      <c r="A58" s="2"/>
      <c r="B58" s="2"/>
      <c r="C58" s="3"/>
      <c r="D58" s="2"/>
      <c r="E58" s="2"/>
      <c r="F58" s="2"/>
      <c r="G58" s="3"/>
      <c r="H58" s="3"/>
    </row>
    <row r="59" spans="1:8" x14ac:dyDescent="0.25">
      <c r="A59" s="2"/>
      <c r="B59" s="2"/>
      <c r="C59" s="3"/>
      <c r="D59" s="2"/>
      <c r="E59" s="2"/>
      <c r="F59" s="2"/>
      <c r="G59" s="3"/>
      <c r="H59" s="3"/>
    </row>
    <row r="60" spans="1:8" x14ac:dyDescent="0.25">
      <c r="A60" s="2"/>
      <c r="B60" s="2"/>
      <c r="C60" s="3"/>
      <c r="D60" s="2"/>
      <c r="E60" s="2"/>
      <c r="F60" s="2"/>
      <c r="G60" s="3"/>
      <c r="H60" s="3"/>
    </row>
    <row r="61" spans="1:8" x14ac:dyDescent="0.25">
      <c r="A61" s="2"/>
      <c r="B61" s="2"/>
      <c r="C61" s="3"/>
      <c r="D61" s="2"/>
      <c r="E61" s="2"/>
      <c r="F61" s="2"/>
      <c r="G61" s="3"/>
      <c r="H61" s="3"/>
    </row>
    <row r="62" spans="1:8" x14ac:dyDescent="0.25">
      <c r="A62" s="2"/>
      <c r="B62" s="2"/>
      <c r="C62" s="3"/>
      <c r="D62" s="2"/>
      <c r="E62" s="2"/>
      <c r="F62" s="2"/>
      <c r="G62" s="3"/>
      <c r="H62" s="3"/>
    </row>
    <row r="63" spans="1:8" x14ac:dyDescent="0.25">
      <c r="A63" s="2"/>
      <c r="B63" s="2"/>
      <c r="C63" s="3"/>
      <c r="D63" s="2"/>
      <c r="E63" s="2"/>
      <c r="F63" s="2"/>
      <c r="G63" s="3"/>
      <c r="H63" s="3"/>
    </row>
    <row r="64" spans="1:8" x14ac:dyDescent="0.25">
      <c r="A64" s="2"/>
      <c r="B64" s="2"/>
      <c r="C64" s="3"/>
      <c r="D64" s="2"/>
      <c r="E64" s="2"/>
      <c r="F64" s="2"/>
      <c r="G64" s="3"/>
      <c r="H64" s="3"/>
    </row>
    <row r="65" spans="1:8" x14ac:dyDescent="0.25">
      <c r="A65" s="2"/>
      <c r="B65" s="2"/>
      <c r="C65" s="3"/>
      <c r="D65" s="2"/>
      <c r="E65" s="2"/>
      <c r="F65" s="2"/>
      <c r="G65" s="3"/>
      <c r="H65" s="3"/>
    </row>
    <row r="66" spans="1:8" x14ac:dyDescent="0.25">
      <c r="A66" s="2"/>
      <c r="B66" s="2"/>
      <c r="C66" s="3"/>
      <c r="D66" s="2"/>
      <c r="E66" s="2"/>
      <c r="F66" s="2"/>
      <c r="G66" s="3"/>
      <c r="H66" s="3"/>
    </row>
    <row r="67" spans="1:8" x14ac:dyDescent="0.25">
      <c r="A67" s="2"/>
      <c r="B67" s="2"/>
      <c r="C67" s="3"/>
      <c r="D67" s="2"/>
      <c r="E67" s="2"/>
      <c r="F67" s="2"/>
      <c r="G67" s="3"/>
      <c r="H67" s="3"/>
    </row>
    <row r="68" spans="1:8" x14ac:dyDescent="0.25">
      <c r="A68" s="2"/>
      <c r="B68" s="2"/>
      <c r="C68" s="3"/>
      <c r="D68" s="2"/>
      <c r="E68" s="2"/>
      <c r="F68" s="2"/>
      <c r="G68" s="3"/>
      <c r="H68" s="3"/>
    </row>
    <row r="69" spans="1:8" x14ac:dyDescent="0.25">
      <c r="A69" s="2"/>
      <c r="B69" s="2"/>
      <c r="C69" s="3"/>
      <c r="D69" s="2"/>
      <c r="E69" s="2"/>
      <c r="F69" s="2"/>
      <c r="G69" s="3"/>
      <c r="H69" s="3"/>
    </row>
    <row r="70" spans="1:8" x14ac:dyDescent="0.25">
      <c r="A70" s="2"/>
      <c r="B70" s="2"/>
      <c r="C70" s="3"/>
      <c r="D70" s="2"/>
      <c r="E70" s="2"/>
      <c r="F70" s="2"/>
      <c r="G70" s="3"/>
      <c r="H70" s="3"/>
    </row>
    <row r="71" spans="1:8" x14ac:dyDescent="0.25">
      <c r="A71" s="2"/>
      <c r="B71" s="2"/>
      <c r="C71" s="3"/>
      <c r="D71" s="2"/>
      <c r="E71" s="2"/>
      <c r="F71" s="2"/>
      <c r="G71" s="3"/>
      <c r="H71" s="3"/>
    </row>
    <row r="72" spans="1:8" x14ac:dyDescent="0.25">
      <c r="A72" s="2"/>
      <c r="B72" s="2"/>
      <c r="C72" s="3"/>
      <c r="D72" s="2"/>
      <c r="E72" s="2"/>
      <c r="F72" s="2"/>
      <c r="G72" s="3"/>
      <c r="H72" s="3"/>
    </row>
    <row r="73" spans="1:8" x14ac:dyDescent="0.25">
      <c r="A73" s="2"/>
      <c r="B73" s="2"/>
      <c r="C73" s="3"/>
      <c r="D73" s="2"/>
      <c r="E73" s="2"/>
      <c r="F73" s="2"/>
      <c r="G73" s="3"/>
      <c r="H73" s="3"/>
    </row>
    <row r="74" spans="1:8" x14ac:dyDescent="0.25">
      <c r="A74" s="2"/>
      <c r="B74" s="2"/>
      <c r="C74" s="3"/>
      <c r="D74" s="2"/>
      <c r="E74" s="2"/>
      <c r="F74" s="2"/>
      <c r="G74" s="3"/>
      <c r="H74" s="3"/>
    </row>
    <row r="75" spans="1:8" x14ac:dyDescent="0.25">
      <c r="A75" s="2"/>
      <c r="B75" s="2"/>
      <c r="C75" s="3"/>
      <c r="D75" s="2"/>
      <c r="E75" s="2"/>
      <c r="F75" s="2"/>
      <c r="G75" s="3"/>
      <c r="H75" s="3"/>
    </row>
    <row r="76" spans="1:8" x14ac:dyDescent="0.25">
      <c r="A76" s="2"/>
      <c r="B76" s="2"/>
      <c r="C76" s="3"/>
      <c r="D76" s="2"/>
      <c r="E76" s="2"/>
      <c r="F76" s="2"/>
      <c r="G76" s="3"/>
      <c r="H76" s="3"/>
    </row>
    <row r="77" spans="1:8" x14ac:dyDescent="0.25">
      <c r="A77" s="2"/>
      <c r="B77" s="2"/>
      <c r="C77" s="3"/>
      <c r="D77" s="2"/>
      <c r="E77" s="2"/>
      <c r="F77" s="2"/>
      <c r="G77" s="3"/>
      <c r="H77" s="3"/>
    </row>
    <row r="78" spans="1:8" x14ac:dyDescent="0.25">
      <c r="A78" s="2"/>
      <c r="B78" s="2"/>
      <c r="C78" s="3"/>
      <c r="D78" s="2"/>
      <c r="E78" s="2"/>
      <c r="F78" s="2"/>
      <c r="G78" s="3"/>
      <c r="H78" s="3"/>
    </row>
    <row r="79" spans="1:8" x14ac:dyDescent="0.25">
      <c r="A79" s="2"/>
      <c r="B79" s="2"/>
      <c r="C79" s="3"/>
      <c r="D79" s="2"/>
      <c r="E79" s="2"/>
      <c r="F79" s="2"/>
      <c r="G79" s="3"/>
      <c r="H79" s="3"/>
    </row>
    <row r="80" spans="1:8" x14ac:dyDescent="0.25">
      <c r="A80" s="2"/>
      <c r="B80" s="2"/>
      <c r="C80" s="3"/>
      <c r="D80" s="2"/>
      <c r="E80" s="2"/>
      <c r="F80" s="2"/>
      <c r="G80" s="3"/>
      <c r="H80" s="3"/>
    </row>
    <row r="81" spans="1:8" x14ac:dyDescent="0.25">
      <c r="A81" s="2"/>
      <c r="B81" s="2"/>
      <c r="C81" s="3"/>
      <c r="D81" s="2"/>
      <c r="E81" s="2"/>
      <c r="F81" s="2"/>
      <c r="G81" s="3"/>
      <c r="H81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B1:K152"/>
  <sheetViews>
    <sheetView showGridLines="0" topLeftCell="A31" zoomScaleNormal="100" zoomScaleSheetLayoutView="100" workbookViewId="0">
      <selection activeCell="H33" sqref="H33"/>
    </sheetView>
  </sheetViews>
  <sheetFormatPr defaultRowHeight="14.25" x14ac:dyDescent="0.25"/>
  <cols>
    <col min="1" max="1" width="1.7109375" style="12" customWidth="1"/>
    <col min="2" max="2" width="11.7109375" style="12" customWidth="1"/>
    <col min="3" max="3" width="36.85546875" style="12" customWidth="1"/>
    <col min="4" max="4" width="1.5703125" style="12" customWidth="1"/>
    <col min="5" max="5" width="11.7109375" style="12" customWidth="1"/>
    <col min="6" max="6" width="36.85546875" style="12" customWidth="1"/>
    <col min="7" max="7" width="1.85546875" style="12" customWidth="1"/>
    <col min="8" max="8" width="9.140625" style="12"/>
    <col min="9" max="9" width="15" style="12" customWidth="1"/>
    <col min="10" max="10" width="9.5703125" style="12" customWidth="1"/>
    <col min="11" max="11" width="13.85546875" style="12" customWidth="1"/>
    <col min="12" max="16384" width="9.140625" style="12"/>
  </cols>
  <sheetData>
    <row r="1" spans="2:11" x14ac:dyDescent="0.25">
      <c r="B1" s="11"/>
      <c r="C1" s="11"/>
      <c r="D1" s="11"/>
      <c r="E1" s="11"/>
      <c r="F1" s="11"/>
      <c r="G1" s="11"/>
      <c r="H1" s="11"/>
    </row>
    <row r="2" spans="2:11" s="15" customFormat="1" ht="20.25" customHeight="1" x14ac:dyDescent="0.2">
      <c r="B2" s="13"/>
      <c r="C2" s="7" t="str">
        <f>IFERROR(IF(VLOOKUP($I$4,DATABASE!$A$2:$H$81,2,FALSE)="","",VLOOKUP($I$4,DATABASE!$A$2:$H$81,2,FALSE)),"")</f>
        <v>LCD PROYEKTOR</v>
      </c>
      <c r="D2" s="5"/>
      <c r="E2" s="6"/>
      <c r="F2" s="7" t="str">
        <f>IFERROR(IF(VLOOKUP($I$4+1,DATABASE!$A$2:$G$81,2,FALSE)="","",VLOOKUP($I$4+1,DATABASE!$A$2:$G$81,2,FALSE)),"")</f>
        <v>LCD PROYEKTOR</v>
      </c>
      <c r="G2" s="5"/>
      <c r="H2" s="14"/>
      <c r="I2" s="50"/>
      <c r="J2" s="50"/>
      <c r="K2" s="50"/>
    </row>
    <row r="3" spans="2:11" s="15" customFormat="1" ht="20.25" customHeight="1" x14ac:dyDescent="0.25">
      <c r="B3" s="13"/>
      <c r="C3" s="8" t="str">
        <f>IFERROR(IF(VLOOKUP($I$4,DATABASE!$A$2:$H$81,3,FALSE)="","",VLOOKUP($I$4,DATABASE!$A$2:$H$81,3,FALSE)),"")</f>
        <v>EPSON EB-X450</v>
      </c>
      <c r="D3" s="16"/>
      <c r="E3" s="17"/>
      <c r="F3" s="6" t="str">
        <f>IFERROR(IF(VLOOKUP($I$4+1,DATABASE!$A$2:$G$81,3,FALSE)="","",VLOOKUP($I$4+1,DATABASE!$A$2:$G$81,3,FALSE)),"")</f>
        <v>EPSON EB-X450</v>
      </c>
      <c r="G3" s="16"/>
      <c r="H3" s="14"/>
      <c r="I3" s="53" t="s">
        <v>3</v>
      </c>
      <c r="J3" s="53"/>
      <c r="K3" s="53"/>
    </row>
    <row r="4" spans="2:11" s="15" customFormat="1" ht="20.25" customHeight="1" x14ac:dyDescent="0.2">
      <c r="B4" s="13"/>
      <c r="C4" s="10" t="str">
        <f>IFERROR(IF(VLOOKUP($I$4,DATABASE!$A$2:$H$81,4,FALSE)="","",VLOOKUP($I$4,DATABASE!$A$2:$H$81,4,FALSE)),"")</f>
        <v>BOS KINERJA SEMESTER II TAHUN 2020</v>
      </c>
      <c r="D4" s="16"/>
      <c r="E4" s="17"/>
      <c r="F4" s="10" t="str">
        <f>IFERROR(IF(VLOOKUP($I$4+1,DATABASE!$A$2:$G$81,4,FALSE)="","",VLOOKUP($I$4+1,DATABASE!$A$2:$G$81,4,FALSE)),"")</f>
        <v>BOS KINERJA SEMESTER II TAHUN 2020</v>
      </c>
      <c r="G4" s="16"/>
      <c r="H4" s="14"/>
      <c r="I4" s="55">
        <v>1</v>
      </c>
      <c r="J4" s="51"/>
      <c r="K4" s="56">
        <f>ROUND(I4/16,0)+1</f>
        <v>1</v>
      </c>
    </row>
    <row r="5" spans="2:11" s="15" customFormat="1" ht="20.25" customHeight="1" x14ac:dyDescent="0.25">
      <c r="B5" s="13"/>
      <c r="C5" s="20" t="str">
        <f>IFERROR(IF(VLOOKUP($I$4,DATABASE!$A$2:$H$81,5,FALSE)="","",VLOOKUP($I$4,DATABASE!$A$2:$H$81,5,FALSE)),"")</f>
        <v>SMK NEGERI 2 PEKALONGAN</v>
      </c>
      <c r="D5" s="16"/>
      <c r="E5" s="17"/>
      <c r="F5" s="26" t="str">
        <f>IFERROR(IF(VLOOKUP($I$4+1,DATABASE!$A$2:$G$81,5,FALSE)="","",VLOOKUP($I$4+1,DATABASE!$A$2:$G$81,5,FALSE)),"")</f>
        <v>SMK NEGERI 2 PEKALONGAN</v>
      </c>
      <c r="G5" s="16"/>
      <c r="H5" s="14"/>
      <c r="I5" s="55"/>
      <c r="J5" s="51"/>
      <c r="K5" s="56"/>
    </row>
    <row r="6" spans="2:11" s="15" customFormat="1" ht="20.25" customHeight="1" x14ac:dyDescent="0.25">
      <c r="B6" s="18">
        <f>IFERROR(IF(VLOOKUP($I$4,DATABASE!$A$2:$H$81,6,FALSE)="","",VLOOKUP($I$4,DATABASE!$A$2:$H$81,6,FALSE)),"")</f>
        <v>2020</v>
      </c>
      <c r="C6" s="28" t="str">
        <f>REPLACE(REPLACE(IFERROR(IF(VLOOKUP($I$4,DATABASE!$A$2:$H$81,7,FALSE)="","",VLOOKUP($I$4,DATABASE!$A$2:$H$81,7,FALSE)),""),100,100," - "),100,100,IFERROR(IF(VLOOKUP($I$4,DATABASE!$A$2:$H$81,8,FALSE)="","",VLOOKUP($I$4,DATABASE!$A$2:$H$81,8,FALSE)),""))</f>
        <v>RUANG LAB. OTKP - 000013 (000015)</v>
      </c>
      <c r="D6" s="16"/>
      <c r="E6" s="18">
        <f>IFERROR(IF(VLOOKUP($I$4+1,DATABASE!$A$2:$H$81,6,FALSE)="","",VLOOKUP($I$4+1,DATABASE!$A$2:$H$81,6,FALSE)),"")</f>
        <v>2020</v>
      </c>
      <c r="F6" s="28" t="str">
        <f>REPLACE(REPLACE(IFERROR(IF(VLOOKUP($I$4+1,DATABASE!$A$2:$H$81,7,FALSE)="","",VLOOKUP($I$4+1,DATABASE!$A$2:$H$81,7,FALSE)),""),100,100," - "),100,100,IFERROR(IF(VLOOKUP($I$4+1,DATABASE!$A$2:$H$81,8,FALSE)="","",VLOOKUP($I$4+1,DATABASE!$A$2:$H$81,8,FALSE)),""))</f>
        <v>RUANG LAB. OTKP - 000012 (000015)</v>
      </c>
      <c r="G6" s="16"/>
      <c r="H6" s="14"/>
      <c r="I6" s="55"/>
      <c r="J6" s="51"/>
      <c r="K6" s="56"/>
    </row>
    <row r="7" spans="2:11" ht="8.25" customHeight="1" x14ac:dyDescent="0.25">
      <c r="B7" s="11"/>
      <c r="C7" s="11"/>
      <c r="D7" s="16"/>
      <c r="E7" s="16"/>
      <c r="F7" s="16"/>
      <c r="G7" s="16"/>
      <c r="H7" s="11"/>
      <c r="I7" s="55"/>
      <c r="J7" s="51"/>
      <c r="K7" s="56"/>
    </row>
    <row r="8" spans="2:11" ht="20.25" customHeight="1" x14ac:dyDescent="0.2">
      <c r="B8" s="13"/>
      <c r="C8" s="7" t="str">
        <f>IFERROR(IF(VLOOKUP($I$4+2,DATABASE!$A$2:$G$81,2,FALSE)="","",VLOOKUP($I$4+2,DATABASE!$A$2:$G$81,2,FALSE)),"")</f>
        <v>LCD PROYEKTOR</v>
      </c>
      <c r="D8" s="5"/>
      <c r="E8" s="13"/>
      <c r="F8" s="7" t="str">
        <f>IFERROR(IF(VLOOKUP($I$4+3,DATABASE!$A$2:$G$81,2,FALSE)="","",VLOOKUP($I$4+3,DATABASE!$A$2:$G$81,2,FALSE)),"")</f>
        <v>LCD PROYEKTOR</v>
      </c>
      <c r="G8" s="5"/>
      <c r="H8" s="11"/>
      <c r="I8" s="19" t="s">
        <v>2</v>
      </c>
      <c r="J8" s="19"/>
      <c r="K8" s="19" t="s">
        <v>1</v>
      </c>
    </row>
    <row r="9" spans="2:11" ht="20.25" customHeight="1" x14ac:dyDescent="0.25">
      <c r="B9" s="13"/>
      <c r="C9" s="8" t="str">
        <f>IFERROR(IF(VLOOKUP($I$4+2,DATABASE!$A$2:$G$81,3,FALSE)="","",VLOOKUP($I$4+2,DATABASE!$A$2:$G$81,3,FALSE)),"")</f>
        <v>EPSON EB-X450</v>
      </c>
      <c r="D9" s="16"/>
      <c r="E9" s="13"/>
      <c r="F9" s="8" t="str">
        <f>IFERROR(IF(VLOOKUP($I$4+3,DATABASE!$A$2:$G$81,3,FALSE)="","",VLOOKUP($I$4+3,DATABASE!$A$2:$G$81,3,FALSE)),"")</f>
        <v>EPSON EB-X450</v>
      </c>
      <c r="G9" s="16"/>
      <c r="H9" s="11"/>
      <c r="I9" s="29"/>
      <c r="J9" s="29"/>
      <c r="K9" s="29"/>
    </row>
    <row r="10" spans="2:11" ht="20.25" customHeight="1" x14ac:dyDescent="0.2">
      <c r="B10" s="13"/>
      <c r="C10" s="10" t="str">
        <f>IFERROR(IF(VLOOKUP($I$4+2,DATABASE!$A$2:$G$81,4,FALSE)="","",VLOOKUP($I$4+2,DATABASE!$A$2:$G$81,4,FALSE)),"")</f>
        <v>BOS KINERJA SEMESTER II TAHUN 2020</v>
      </c>
      <c r="D10" s="16"/>
      <c r="E10" s="13"/>
      <c r="F10" s="10" t="str">
        <f>IFERROR(IF(VLOOKUP($I$4+3,DATABASE!$A$2:$G$81,4,FALSE)="","",VLOOKUP($I$4+3,DATABASE!$A$2:$G$81,4,FALSE)),"")</f>
        <v>BOS KINERJA SEMESTER II TAHUN 2020</v>
      </c>
      <c r="G10" s="16"/>
      <c r="H10" s="11"/>
      <c r="I10" s="29"/>
      <c r="J10" s="11"/>
      <c r="K10" s="11"/>
    </row>
    <row r="11" spans="2:11" ht="20.25" customHeight="1" x14ac:dyDescent="0.25">
      <c r="B11" s="13"/>
      <c r="C11" s="20" t="str">
        <f>IFERROR(IF(VLOOKUP($I$4+2,DATABASE!$A$2:$G$81,5,FALSE)="","",VLOOKUP($I$4+2,DATABASE!$A$2:$G$81,5,FALSE)),"")</f>
        <v>SMK NEGERI 2 PEKALONGAN</v>
      </c>
      <c r="D11" s="16"/>
      <c r="E11" s="13"/>
      <c r="F11" s="20" t="str">
        <f>IFERROR(IF(VLOOKUP($I$4+3,DATABASE!$A$2:$G$81,5,FALSE)="","",VLOOKUP($I$4+3,DATABASE!$A$2:$G$81,5,FALSE)),"")</f>
        <v>SMK NEGERI 2 PEKALONGAN</v>
      </c>
      <c r="G11" s="16"/>
      <c r="H11" s="11"/>
      <c r="I11" s="29"/>
      <c r="J11" s="11"/>
      <c r="K11" s="11"/>
    </row>
    <row r="12" spans="2:11" ht="20.25" customHeight="1" x14ac:dyDescent="0.25">
      <c r="B12" s="18">
        <f>IFERROR(IF(VLOOKUP($I$4+2,DATABASE!$A$2:$H$81,6,FALSE)="","",VLOOKUP($I$4+2,DATABASE!$A$2:$H$81,6,FALSE)),"")</f>
        <v>2020</v>
      </c>
      <c r="C12" s="28" t="str">
        <f>REPLACE(REPLACE(IFERROR(IF(VLOOKUP($I$4+2,DATABASE!$A$2:$H$81,7,FALSE)="","",VLOOKUP($I$4+2,DATABASE!$A$2:$H$81,7,FALSE)),""),100,100," - "),100,100,IFERROR(IF(VLOOKUP($I$4+2,DATABASE!$A$2:$H$81,8,FALSE)="","",VLOOKUP($I$4+2,DATABASE!$A$2:$H$81,8,FALSE)),""))</f>
        <v>RUANG WAKA - 000011 (000015)</v>
      </c>
      <c r="D12" s="16"/>
      <c r="E12" s="18">
        <f>IFERROR(IF(VLOOKUP($I$4+3,DATABASE!$A$2:$H$81,6,FALSE)="","",VLOOKUP($I$4+3,DATABASE!$A$2:$H$81,6,FALSE)),"")</f>
        <v>2020</v>
      </c>
      <c r="F12" s="28" t="str">
        <f>REPLACE(REPLACE(IFERROR(IF(VLOOKUP($I$4+3,DATABASE!$A$2:$H$81,7,FALSE)="","",VLOOKUP($I$4+3,DATABASE!$A$2:$H$81,7,FALSE)),""),100,100," - "),100,100,IFERROR(IF(VLOOKUP($I$4+3,DATABASE!$A$2:$H$81,8,FALSE)="","",VLOOKUP($I$4+3,DATABASE!$A$2:$H$81,8,FALSE)),""))</f>
        <v>RUANG OLAHRAGA - 000010 (000015)</v>
      </c>
      <c r="G12" s="16"/>
      <c r="H12" s="11"/>
      <c r="I12" s="29"/>
      <c r="J12" s="11"/>
      <c r="K12" s="11"/>
    </row>
    <row r="13" spans="2:11" ht="8.25" customHeight="1" x14ac:dyDescent="0.25">
      <c r="B13" s="21"/>
      <c r="C13" s="22"/>
      <c r="D13" s="16"/>
      <c r="E13" s="16"/>
      <c r="F13" s="16"/>
      <c r="G13" s="16"/>
      <c r="H13" s="11"/>
      <c r="I13" s="23"/>
      <c r="J13" s="11"/>
      <c r="K13" s="14"/>
    </row>
    <row r="14" spans="2:11" ht="20.25" customHeight="1" x14ac:dyDescent="0.2">
      <c r="B14" s="13"/>
      <c r="C14" s="7" t="str">
        <f>IFERROR(IF(VLOOKUP($I$4+4,DATABASE!$A$2:$G$81,2,FALSE)="","",VLOOKUP($I$4+4,DATABASE!$A$2:$G$81,2,FALSE)),"")</f>
        <v>PRINTER</v>
      </c>
      <c r="D14" s="5"/>
      <c r="E14" s="13"/>
      <c r="F14" s="7" t="str">
        <f>IFERROR(IF(VLOOKUP($I$4+5,DATABASE!$A$2:$G$81,2,FALSE)="","",VLOOKUP($I$4+5,DATABASE!$A$2:$G$81,2,FALSE)),"")</f>
        <v>PC. UNIT</v>
      </c>
      <c r="G14" s="5"/>
      <c r="H14" s="11"/>
      <c r="I14" s="14"/>
      <c r="J14" s="14"/>
      <c r="K14" s="14"/>
    </row>
    <row r="15" spans="2:11" ht="20.25" customHeight="1" x14ac:dyDescent="0.25">
      <c r="B15" s="13"/>
      <c r="C15" s="8" t="str">
        <f>IFERROR(IF(VLOOKUP($I$4+4,DATABASE!$A$2:$G$81,3,FALSE)="","",VLOOKUP($I$4+4,DATABASE!$A$2:$G$81,3,FALSE)),"")</f>
        <v>EPSON L5290 - HITAM</v>
      </c>
      <c r="D15" s="16"/>
      <c r="E15" s="13"/>
      <c r="F15" s="8" t="str">
        <f>IFERROR(IF(VLOOKUP($I$4+5,DATABASE!$A$2:$G$81,3,FALSE)="","",VLOOKUP($I$4+5,DATABASE!$A$2:$G$81,3,FALSE)),"")</f>
        <v>CORE I5</v>
      </c>
      <c r="G15" s="16"/>
      <c r="H15" s="11"/>
      <c r="I15" s="11"/>
      <c r="J15" s="11"/>
      <c r="K15" s="11"/>
    </row>
    <row r="16" spans="2:11" ht="20.25" customHeight="1" x14ac:dyDescent="0.2">
      <c r="B16" s="13"/>
      <c r="C16" s="10" t="str">
        <f>IFERROR(IF(VLOOKUP($I$4+4,DATABASE!$A$2:$G$81,4,FALSE)="","",VLOOKUP($I$4+4,DATABASE!$A$2:$G$81,4,FALSE)),"")</f>
        <v>BELANJA MODAL BOS TAHUN 2023</v>
      </c>
      <c r="D16" s="16"/>
      <c r="E16" s="13"/>
      <c r="F16" s="10" t="str">
        <f>IFERROR(IF(VLOOKUP($I$4+5,DATABASE!$A$2:$G$81,4,FALSE)="","",VLOOKUP($I$4+5,DATABASE!$A$2:$G$81,4,FALSE)),"")</f>
        <v>BELANJA MODAL BOS TAHUN 2023</v>
      </c>
      <c r="G16" s="16"/>
      <c r="H16" s="11"/>
      <c r="I16" s="54"/>
      <c r="J16" s="54"/>
      <c r="K16" s="54"/>
    </row>
    <row r="17" spans="2:11" ht="20.25" customHeight="1" x14ac:dyDescent="0.25">
      <c r="B17" s="13"/>
      <c r="C17" s="20" t="str">
        <f>IFERROR(IF(VLOOKUP($I$4+4,DATABASE!$A$2:$G$81,5,FALSE)="","",VLOOKUP($I$4+4,DATABASE!$A$2:$G$81,5,FALSE)),"")</f>
        <v>SMK NEGERI 2 PEKALONGAN</v>
      </c>
      <c r="D17" s="16"/>
      <c r="E17" s="13"/>
      <c r="F17" s="20" t="str">
        <f>IFERROR(IF(VLOOKUP($I$4+5,DATABASE!$A$2:$G$81,5,FALSE)="","",VLOOKUP($I$4+5,DATABASE!$A$2:$G$81,5,FALSE)),"")</f>
        <v>SMK NEGERI 2 PEKALONGAN</v>
      </c>
      <c r="G17" s="16"/>
      <c r="H17" s="11"/>
      <c r="I17" s="52"/>
      <c r="J17" s="52"/>
      <c r="K17" s="52"/>
    </row>
    <row r="18" spans="2:11" ht="20.25" customHeight="1" x14ac:dyDescent="0.25">
      <c r="B18" s="18">
        <f>IFERROR(IF(VLOOKUP($I$4+4,DATABASE!$A$2:$H$81,6,FALSE)="","",VLOOKUP($I$4+4,DATABASE!$A$2:$H$81,6,FALSE)),"")</f>
        <v>2023</v>
      </c>
      <c r="C18" s="28" t="str">
        <f>REPLACE(REPLACE(IFERROR(IF(VLOOKUP($I$4+4,DATABASE!$A$2:$H$81,7,FALSE)="","",VLOOKUP($I$4+4,DATABASE!$A$2:$H$81,7,FALSE)),""),100,100," - "),100,100,IFERROR(IF(VLOOKUP($I$4+4,DATABASE!$A$2:$H$81,8,FALSE)="","",VLOOKUP($I$4+4,DATABASE!$A$2:$H$81,8,FALSE)),""))</f>
        <v>RUANG PENUNJANG - 0005 (0005)</v>
      </c>
      <c r="D18" s="16"/>
      <c r="E18" s="18">
        <f>IFERROR(IF(VLOOKUP($I$4+5,DATABASE!$A$2:$H$81,6,FALSE)="","",VLOOKUP($I$4+5,DATABASE!$A$2:$H$81,6,FALSE)),"")</f>
        <v>2023</v>
      </c>
      <c r="F18" s="28" t="str">
        <f>REPLACE(REPLACE(IFERROR(IF(VLOOKUP($I$4+5,DATABASE!$A$2:$H$81,7,FALSE)="","",VLOOKUP($I$4+5,DATABASE!$A$2:$H$81,7,FALSE)),""),100,100," - "),100,100,IFERROR(IF(VLOOKUP($I$4+5,DATABASE!$A$2:$H$81,8,FALSE)="","",VLOOKUP($I$4+5,DATABASE!$A$2:$H$81,8,FALSE)),""))</f>
        <v>RUANG LAB. OTKP - 0006 (0036)</v>
      </c>
      <c r="G18" s="16"/>
      <c r="H18" s="11"/>
      <c r="I18" s="50"/>
      <c r="J18" s="50"/>
      <c r="K18" s="50"/>
    </row>
    <row r="19" spans="2:11" ht="7.5" customHeight="1" x14ac:dyDescent="0.25">
      <c r="B19" s="11"/>
      <c r="C19" s="9"/>
      <c r="D19" s="5"/>
      <c r="E19" s="11"/>
      <c r="F19" s="9"/>
      <c r="G19" s="5"/>
      <c r="H19" s="11"/>
      <c r="I19" s="11"/>
      <c r="J19" s="11"/>
      <c r="K19" s="11"/>
    </row>
    <row r="20" spans="2:11" ht="20.25" customHeight="1" x14ac:dyDescent="0.2">
      <c r="B20" s="13"/>
      <c r="C20" s="7" t="str">
        <f>IFERROR(IF(VLOOKUP($I$4+6,DATABASE!$A$2:$G$81,2,FALSE)="","",VLOOKUP($I$4+6,DATABASE!$A$2:$G$81,2,FALSE)),"")</f>
        <v>PC. UNIT</v>
      </c>
      <c r="D20" s="5"/>
      <c r="E20" s="13"/>
      <c r="F20" s="7" t="str">
        <f>IFERROR(IF(VLOOKUP($I$4+7,DATABASE!$A$2:$G$81,2,FALSE)="","",VLOOKUP($I$4+7,DATABASE!$A$2:$G$81,2,FALSE)),"")</f>
        <v>PC. UNIT</v>
      </c>
      <c r="G20" s="16"/>
      <c r="H20" s="11"/>
    </row>
    <row r="21" spans="2:11" ht="20.25" customHeight="1" x14ac:dyDescent="0.25">
      <c r="B21" s="13"/>
      <c r="C21" s="8" t="str">
        <f>IFERROR(IF(VLOOKUP($I$4+6,DATABASE!$A$2:$G$81,3,FALSE)="","",VLOOKUP($I$4+6,DATABASE!$A$2:$G$81,3,FALSE)),"")</f>
        <v>CORE I5</v>
      </c>
      <c r="D21" s="16"/>
      <c r="E21" s="13"/>
      <c r="F21" s="8" t="str">
        <f>IFERROR(IF(VLOOKUP($I$4+7,DATABASE!$A$2:$G$81,3,FALSE)="","",VLOOKUP($I$4+7,DATABASE!$A$2:$G$81,3,FALSE)),"")</f>
        <v>CORE I5</v>
      </c>
      <c r="G21" s="16"/>
      <c r="H21" s="11"/>
    </row>
    <row r="22" spans="2:11" ht="20.25" customHeight="1" x14ac:dyDescent="0.2">
      <c r="B22" s="13"/>
      <c r="C22" s="10" t="str">
        <f>IFERROR(IF(VLOOKUP($I$4+6,DATABASE!$A$2:$G$81,4,FALSE)="","",VLOOKUP($I$4+6,DATABASE!$A$2:$G$81,4,FALSE)),"")</f>
        <v>BELANJA MODAL BOS TAHUN 2023</v>
      </c>
      <c r="D22" s="16"/>
      <c r="E22" s="13"/>
      <c r="F22" s="10" t="str">
        <f>IFERROR(IF(VLOOKUP($I$4+7,DATABASE!$A$2:$G$81,4,FALSE)="","",VLOOKUP($I$4+7,DATABASE!$A$2:$G$81,4,FALSE)),"")</f>
        <v>BELANJA MODAL BOS TAHUN 2023</v>
      </c>
      <c r="G22" s="16"/>
      <c r="H22" s="11"/>
    </row>
    <row r="23" spans="2:11" ht="20.25" customHeight="1" x14ac:dyDescent="0.25">
      <c r="B23" s="13"/>
      <c r="C23" s="20" t="str">
        <f>IFERROR(IF(VLOOKUP($I$4+6,DATABASE!$A$2:$G$81,5,FALSE)="","",VLOOKUP($I$4+6,DATABASE!$A$2:$G$81,5,FALSE)),"")</f>
        <v>SMK NEGERI 2 PEKALONGAN</v>
      </c>
      <c r="D23" s="16"/>
      <c r="E23" s="13"/>
      <c r="F23" s="20" t="str">
        <f>IFERROR(IF(VLOOKUP($I$4+7,DATABASE!$A$2:$G$81,5,FALSE)="","",VLOOKUP($I$4+7,DATABASE!$A$2:$G$81,5,FALSE)),"")</f>
        <v>SMK NEGERI 2 PEKALONGAN</v>
      </c>
      <c r="G23" s="11"/>
      <c r="H23" s="11"/>
    </row>
    <row r="24" spans="2:11" ht="20.25" customHeight="1" x14ac:dyDescent="0.25">
      <c r="B24" s="18">
        <f>IFERROR(IF(VLOOKUP($I$4+6,DATABASE!$A$2:$H$81,6,FALSE)="","",VLOOKUP($I$4+6,DATABASE!$A$2:$H$81,6,FALSE)),"")</f>
        <v>2023</v>
      </c>
      <c r="C24" s="28" t="str">
        <f>REPLACE(REPLACE(IFERROR(IF(VLOOKUP($I$4+6,DATABASE!$A$2:$H$81,7,FALSE)="","",VLOOKUP($I$4+6,DATABASE!$A$2:$H$81,7,FALSE)),""),100,100," - "),100,100,IFERROR(IF(VLOOKUP($I$4+6,DATABASE!$A$2:$H$81,8,FALSE)="","",VLOOKUP($I$4+6,DATABASE!$A$2:$H$81,8,FALSE)),""))</f>
        <v>RUANG LAB. OTKP - 0007 (0036)</v>
      </c>
      <c r="D24" s="16"/>
      <c r="E24" s="18">
        <f>IFERROR(IF(VLOOKUP($I$4+7,DATABASE!$A$2:$H$81,6,FALSE)="","",VLOOKUP($I$4+7,DATABASE!$A$2:$H$81,6,FALSE)),"")</f>
        <v>2023</v>
      </c>
      <c r="F24" s="28" t="str">
        <f>REPLACE(REPLACE(IFERROR(IF(VLOOKUP($I$4+7,DATABASE!$A$2:$H$81,7,FALSE)="","",VLOOKUP($I$4+7,DATABASE!$A$2:$H$81,7,FALSE)),""),100,100," - "),100,100,IFERROR(IF(VLOOKUP($I$4+7,DATABASE!$A$2:$H$81,8,FALSE)="","",VLOOKUP($I$4+7,DATABASE!$A$2:$H$81,8,FALSE)),""))</f>
        <v>RUANG LAB. OTKP - 0008 (0036)</v>
      </c>
      <c r="G24" s="11"/>
      <c r="H24" s="11"/>
    </row>
    <row r="25" spans="2:11" ht="8.25" customHeight="1" x14ac:dyDescent="0.25">
      <c r="B25" s="21"/>
      <c r="C25" s="22"/>
      <c r="D25" s="16"/>
      <c r="E25" s="16"/>
      <c r="F25" s="16"/>
    </row>
    <row r="26" spans="2:11" ht="20.25" customHeight="1" x14ac:dyDescent="0.2">
      <c r="B26" s="13"/>
      <c r="C26" s="7" t="str">
        <f>IFERROR(IF(VLOOKUP($I$4+8,DATABASE!$A$2:$G$81,2,FALSE)="","",VLOOKUP($I$4+8,DATABASE!$A$2:$G$81,2,FALSE)),"")</f>
        <v>PC. UNIT</v>
      </c>
      <c r="D26" s="5"/>
      <c r="E26" s="13"/>
      <c r="F26" s="7" t="str">
        <f>IFERROR(IF(VLOOKUP($I$4+9,DATABASE!$A$2:$G$81,2,FALSE)="","",VLOOKUP($I$4+9,DATABASE!$A$2:$G$81,2,FALSE)),"")</f>
        <v>PC. UNIT</v>
      </c>
    </row>
    <row r="27" spans="2:11" ht="20.25" customHeight="1" x14ac:dyDescent="0.25">
      <c r="B27" s="13"/>
      <c r="C27" s="8" t="str">
        <f>IFERROR(IF(VLOOKUP($I$4+8,DATABASE!$A$2:$G$81,3,FALSE)="","",VLOOKUP($I$4+8,DATABASE!$A$2:$G$81,3,FALSE)),"")</f>
        <v>CORE I5</v>
      </c>
      <c r="D27" s="16"/>
      <c r="E27" s="13"/>
      <c r="F27" s="8" t="str">
        <f>IFERROR(IF(VLOOKUP($I$4+9,DATABASE!$A$2:$G$81,3,FALSE)="","",VLOOKUP($I$4+9,DATABASE!$A$2:$G$81,3,FALSE)),"")</f>
        <v>CORE I5</v>
      </c>
    </row>
    <row r="28" spans="2:11" ht="20.25" customHeight="1" x14ac:dyDescent="0.2">
      <c r="B28" s="13"/>
      <c r="C28" s="10" t="str">
        <f>IFERROR(IF(VLOOKUP($I$4+8,DATABASE!$A$2:$G$81,4,FALSE)="","",VLOOKUP($I$4+8,DATABASE!$A$2:$G$81,4,FALSE)),"")</f>
        <v>BELANJA MODAL BOS TAHUN 2023</v>
      </c>
      <c r="D28" s="16"/>
      <c r="E28" s="13"/>
      <c r="F28" s="10" t="str">
        <f>IFERROR(IF(VLOOKUP($I$4+9,DATABASE!$A$2:$G$81,4,FALSE)="","",VLOOKUP($I$4+9,DATABASE!$A$2:$G$81,4,FALSE)),"")</f>
        <v>BELANJA MODAL BOS TAHUN 2023</v>
      </c>
    </row>
    <row r="29" spans="2:11" ht="20.25" customHeight="1" x14ac:dyDescent="0.25">
      <c r="B29" s="13"/>
      <c r="C29" s="20" t="str">
        <f>IFERROR(IF(VLOOKUP($I$4+8,DATABASE!$A$2:$G$81,5,FALSE)="","",VLOOKUP($I$4+8,DATABASE!$A$2:$G$81,5,FALSE)),"")</f>
        <v>SMK NEGERI 2 PEKALONGAN</v>
      </c>
      <c r="D29" s="16"/>
      <c r="E29" s="13"/>
      <c r="F29" s="20" t="str">
        <f>IFERROR(IF(VLOOKUP($I$4+9,DATABASE!$A$2:$G$81,5,FALSE)="","",VLOOKUP($I$4+9,DATABASE!$A$2:$G$81,5,FALSE)),"")</f>
        <v>SMK NEGERI 2 PEKALONGAN</v>
      </c>
    </row>
    <row r="30" spans="2:11" ht="20.25" customHeight="1" x14ac:dyDescent="0.25">
      <c r="B30" s="18">
        <f>IFERROR(IF(VLOOKUP($I$4+8,DATABASE!$A$2:$H$81,6,FALSE)="","",VLOOKUP($I$4+8,DATABASE!$A$2:$H$81,6,FALSE)),"")</f>
        <v>2023</v>
      </c>
      <c r="C30" s="28" t="str">
        <f>REPLACE(REPLACE(IFERROR(IF(VLOOKUP($I$4+8,DATABASE!$A$2:$H$81,7,FALSE)="","",VLOOKUP($I$4+8,DATABASE!$A$2:$H$81,7,FALSE)),""),100,100," - "),100,100,IFERROR(IF(VLOOKUP($I$4+8,DATABASE!$A$2:$H$81,8,FALSE)="","",VLOOKUP($I$4+8,DATABASE!$A$2:$H$81,8,FALSE)),""))</f>
        <v>RUANG LAB. OTKP - 0009 (0036)</v>
      </c>
      <c r="D30" s="16"/>
      <c r="E30" s="18">
        <f>IFERROR(IF(VLOOKUP($I$4+9,DATABASE!$A$2:$H$81,6,FALSE)="","",VLOOKUP($I$4+9,DATABASE!$A$2:$H$81,6,FALSE)),"")</f>
        <v>2023</v>
      </c>
      <c r="F30" s="28" t="str">
        <f>REPLACE(REPLACE(IFERROR(IF(VLOOKUP($I$4+9,DATABASE!$A$2:$H$81,7,FALSE)="","",VLOOKUP($I$4+9,DATABASE!$A$2:$H$81,7,FALSE)),""),100,100," - "),100,100,IFERROR(IF(VLOOKUP($I$4+9,DATABASE!$A$2:$H$81,8,FALSE)="","",VLOOKUP($I$4+9,DATABASE!$A$2:$H$81,8,FALSE)),""))</f>
        <v>RUANG LAB. OTKP - 0010 (0036)</v>
      </c>
    </row>
    <row r="31" spans="2:11" ht="7.5" customHeight="1" x14ac:dyDescent="0.25"/>
    <row r="32" spans="2:11" ht="20.25" customHeight="1" x14ac:dyDescent="0.2">
      <c r="B32" s="13"/>
      <c r="C32" s="7" t="str">
        <f>IFERROR(IF(VLOOKUP($I$4+10,DATABASE!$A$2:$G$81,2,FALSE)="","",VLOOKUP($I$4+10,DATABASE!$A$2:$G$81,2,FALSE)),"")</f>
        <v>PC. UNIT</v>
      </c>
      <c r="D32" s="5"/>
      <c r="E32" s="13"/>
      <c r="F32" s="7" t="str">
        <f>IFERROR(IF(VLOOKUP($I$4+11,DATABASE!$A$2:$G$81,2,FALSE)="","",VLOOKUP($I$4+11,DATABASE!$A$2:$G$81,2,FALSE)),"")</f>
        <v>PC. UNIT</v>
      </c>
    </row>
    <row r="33" spans="2:6" ht="20.25" customHeight="1" x14ac:dyDescent="0.25">
      <c r="B33" s="13"/>
      <c r="C33" s="8" t="str">
        <f>IFERROR(IF(VLOOKUP($I$4+10,DATABASE!$A$2:$G$81,3,FALSE)="","",VLOOKUP($I$4+10,DATABASE!$A$2:$G$81,3,FALSE)),"")</f>
        <v>CORE I5</v>
      </c>
      <c r="D33" s="16"/>
      <c r="E33" s="13"/>
      <c r="F33" s="8" t="str">
        <f>IFERROR(IF(VLOOKUP($I$4+11,DATABASE!$A$2:$G$81,3,FALSE)="","",VLOOKUP($I$4+11,DATABASE!$A$2:$G$81,3,FALSE)),"")</f>
        <v>CORE I5</v>
      </c>
    </row>
    <row r="34" spans="2:6" ht="20.25" customHeight="1" x14ac:dyDescent="0.2">
      <c r="B34" s="13"/>
      <c r="C34" s="10" t="str">
        <f>IFERROR(IF(VLOOKUP($I$4+10,DATABASE!$A$2:$G$81,4,FALSE)="","",VLOOKUP($I$4+10,DATABASE!$A$2:$G$81,4,FALSE)),"")</f>
        <v>BELANJA MODAL BOS TAHUN 2023</v>
      </c>
      <c r="D34" s="16"/>
      <c r="E34" s="13"/>
      <c r="F34" s="10" t="str">
        <f>IFERROR(IF(VLOOKUP($I$4+11,DATABASE!$A$2:$G$81,4,FALSE)="","",VLOOKUP($I$4+11,DATABASE!$A$2:$G$81,4,FALSE)),"")</f>
        <v>BELANJA MODAL BOS TAHUN 2023</v>
      </c>
    </row>
    <row r="35" spans="2:6" ht="20.25" customHeight="1" x14ac:dyDescent="0.25">
      <c r="B35" s="13"/>
      <c r="C35" s="20" t="str">
        <f>IFERROR(IF(VLOOKUP($I$4+10,DATABASE!$A$2:$G$81,5,FALSE)="","",VLOOKUP($I$4+10,DATABASE!$A$2:$G$81,5,FALSE)),"")</f>
        <v>SMK NEGERI 2 PEKALONGAN</v>
      </c>
      <c r="D35" s="16"/>
      <c r="E35" s="13"/>
      <c r="F35" s="20" t="str">
        <f>IFERROR(IF(VLOOKUP($I$4+11,DATABASE!$A$2:$G$81,5,FALSE)="","",VLOOKUP($I$4+11,DATABASE!$A$2:$G$81,5,FALSE)),"")</f>
        <v>SMK NEGERI 2 PEKALONGAN</v>
      </c>
    </row>
    <row r="36" spans="2:6" ht="20.25" customHeight="1" x14ac:dyDescent="0.25">
      <c r="B36" s="18">
        <f>IFERROR(IF(VLOOKUP($I$4+10,DATABASE!$A$2:$H$81,6,FALSE)="","",VLOOKUP($I$4+10,DATABASE!$A$2:$H$81,6,FALSE)),"")</f>
        <v>2023</v>
      </c>
      <c r="C36" s="28" t="str">
        <f>REPLACE(REPLACE(IFERROR(IF(VLOOKUP($I$4+10,DATABASE!$A$2:$H$81,7,FALSE)="","",VLOOKUP($I$4+10,DATABASE!$A$2:$H$81,7,FALSE)),""),100,100," - "),100,100,IFERROR(IF(VLOOKUP($I$4+10,DATABASE!$A$2:$H$81,8,FALSE)="","",VLOOKUP($I$4+10,DATABASE!$A$2:$H$81,8,FALSE)),""))</f>
        <v>RUANG LAB. OTKP - 0011 (0036)</v>
      </c>
      <c r="D36" s="16"/>
      <c r="E36" s="18">
        <f>IFERROR(IF(VLOOKUP($I$4+11,DATABASE!$A$2:$H$81,6,FALSE)="","",VLOOKUP($I$4+11,DATABASE!$A$2:$H$81,6,FALSE)),"")</f>
        <v>2023</v>
      </c>
      <c r="F36" s="28" t="str">
        <f>REPLACE(REPLACE(IFERROR(IF(VLOOKUP($I$4+11,DATABASE!$A$2:$H$81,7,FALSE)="","",VLOOKUP($I$4+11,DATABASE!$A$2:$H$81,7,FALSE)),""),100,100," - "),100,100,IFERROR(IF(VLOOKUP($I$4+11,DATABASE!$A$2:$H$81,8,FALSE)="","",VLOOKUP($I$4+11,DATABASE!$A$2:$H$81,8,FALSE)),""))</f>
        <v>RUANG LAB. OTKP - 0012 (0036)</v>
      </c>
    </row>
    <row r="37" spans="2:6" ht="7.5" customHeight="1" x14ac:dyDescent="0.25">
      <c r="B37" s="21"/>
      <c r="C37" s="22"/>
      <c r="D37" s="16"/>
      <c r="E37" s="16"/>
      <c r="F37" s="16"/>
    </row>
    <row r="38" spans="2:6" ht="20.25" customHeight="1" x14ac:dyDescent="0.2">
      <c r="B38" s="13"/>
      <c r="C38" s="7" t="str">
        <f>IFERROR(IF(VLOOKUP($I$4+12,DATABASE!$A$2:$G$81,2,FALSE)="","",VLOOKUP($I$4+12,DATABASE!$A$2:$G$81,2,FALSE)),"")</f>
        <v>PC. UNIT</v>
      </c>
      <c r="D38" s="5"/>
      <c r="E38" s="13"/>
      <c r="F38" s="7" t="str">
        <f>IFERROR(IF(VLOOKUP($I$4+13,DATABASE!$A$2:$G$81,2,FALSE)="","",VLOOKUP($I$4+13,DATABASE!$A$2:$G$81,2,FALSE)),"")</f>
        <v>PC. UNIT</v>
      </c>
    </row>
    <row r="39" spans="2:6" ht="20.25" customHeight="1" x14ac:dyDescent="0.25">
      <c r="B39" s="13"/>
      <c r="C39" s="8" t="str">
        <f>IFERROR(IF(VLOOKUP($I$4+12,DATABASE!$A$2:$G$81,3,FALSE)="","",VLOOKUP($I$4+12,DATABASE!$A$2:$G$81,3,FALSE)),"")</f>
        <v>CORE I5</v>
      </c>
      <c r="D39" s="16"/>
      <c r="E39" s="13"/>
      <c r="F39" s="8" t="str">
        <f>IFERROR(IF(VLOOKUP($I$4+13,DATABASE!$A$2:$G$81,3,FALSE)="","",VLOOKUP($I$4+13,DATABASE!$A$2:$G$81,3,FALSE)),"")</f>
        <v>CORE I5</v>
      </c>
    </row>
    <row r="40" spans="2:6" ht="20.25" customHeight="1" x14ac:dyDescent="0.2">
      <c r="B40" s="13"/>
      <c r="C40" s="10" t="str">
        <f>IFERROR(IF(VLOOKUP($I$4+12,DATABASE!$A$2:$G$81,4,FALSE)="","",VLOOKUP($I$4+12,DATABASE!$A$2:$G$81,4,FALSE)),"")</f>
        <v>BELANJA MODAL BOS TAHUN 2023</v>
      </c>
      <c r="D40" s="16"/>
      <c r="E40" s="13"/>
      <c r="F40" s="10" t="str">
        <f>IFERROR(IF(VLOOKUP($I$4+13,DATABASE!$A$2:$G$81,4,FALSE)="","",VLOOKUP($I$4+13,DATABASE!$A$2:$G$81,4,FALSE)),"")</f>
        <v>BELANJA MODAL BOS TAHUN 2023</v>
      </c>
    </row>
    <row r="41" spans="2:6" ht="20.25" customHeight="1" x14ac:dyDescent="0.25">
      <c r="B41" s="13"/>
      <c r="C41" s="20" t="str">
        <f>IFERROR(IF(VLOOKUP($I$4+12,DATABASE!$A$2:$G$81,5,FALSE)="","",VLOOKUP($I$4+12,DATABASE!$A$2:$G$81,5,FALSE)),"")</f>
        <v>SMK NEGERI 2 PEKALONGAN</v>
      </c>
      <c r="D41" s="16"/>
      <c r="E41" s="13"/>
      <c r="F41" s="20" t="str">
        <f>IFERROR(IF(VLOOKUP($I$4+13,DATABASE!$A$2:$G$81,5,FALSE)="","",VLOOKUP($I$4+13,DATABASE!$A$2:$G$81,5,FALSE)),"")</f>
        <v>SMK NEGERI 2 PEKALONGAN</v>
      </c>
    </row>
    <row r="42" spans="2:6" ht="20.25" customHeight="1" x14ac:dyDescent="0.25">
      <c r="B42" s="18">
        <f>IFERROR(IF(VLOOKUP($I$4+12,DATABASE!$A$2:$H$81,6,FALSE)="","",VLOOKUP($I$4+12,DATABASE!$A$2:$H$81,6,FALSE)),"")</f>
        <v>2023</v>
      </c>
      <c r="C42" s="28" t="str">
        <f>REPLACE(REPLACE(IFERROR(IF(VLOOKUP($I$4+12,DATABASE!$A$2:$H$81,7,FALSE)="","",VLOOKUP($I$4+12,DATABASE!$A$2:$H$81,7,FALSE)),""),100,100," - "),100,100,IFERROR(IF(VLOOKUP($I$4+12,DATABASE!$A$2:$H$81,8,FALSE)="","",VLOOKUP($I$4+12,DATABASE!$A$2:$H$81,8,FALSE)),""))</f>
        <v>RUANG LAB. OTKP - 0013 (0036)</v>
      </c>
      <c r="D42" s="16"/>
      <c r="E42" s="18">
        <f>IFERROR(IF(VLOOKUP($I$4+13,DATABASE!$A$2:$H$81,6,FALSE)="","",VLOOKUP($I$4+13,DATABASE!$A$2:$H$81,6,FALSE)),"")</f>
        <v>2023</v>
      </c>
      <c r="F42" s="28" t="str">
        <f>REPLACE(REPLACE(IFERROR(IF(VLOOKUP($I$4+13,DATABASE!$A$2:$H$81,7,FALSE)="","",VLOOKUP($I$4+13,DATABASE!$A$2:$H$81,7,FALSE)),""),100,100," - "),100,100,IFERROR(IF(VLOOKUP($I$4+13,DATABASE!$A$2:$H$81,8,FALSE)="","",VLOOKUP($I$4+13,DATABASE!$A$2:$H$81,8,FALSE)),""))</f>
        <v>RUANG LAB. OTKP - 0014 (0036)</v>
      </c>
    </row>
    <row r="43" spans="2:6" ht="8.25" customHeight="1" x14ac:dyDescent="0.25"/>
    <row r="44" spans="2:6" ht="20.25" customHeight="1" x14ac:dyDescent="0.2">
      <c r="B44" s="13"/>
      <c r="C44" s="7" t="str">
        <f>IFERROR(IF(VLOOKUP($I$4+14,DATABASE!$A$2:$G$81,2,FALSE)="","",VLOOKUP($I$4+14,DATABASE!$A$2:$G$81,2,FALSE)),"")</f>
        <v>PC. UNIT</v>
      </c>
      <c r="D44" s="5"/>
      <c r="E44" s="13"/>
      <c r="F44" s="7" t="str">
        <f>IFERROR(IF(VLOOKUP($I$4+15,DATABASE!$A$2:$G$81,2,FALSE)="","",VLOOKUP($I$4+15,DATABASE!$A$2:$G$81,2,FALSE)),"")</f>
        <v>PC. UNIT</v>
      </c>
    </row>
    <row r="45" spans="2:6" ht="20.25" customHeight="1" x14ac:dyDescent="0.25">
      <c r="B45" s="13"/>
      <c r="C45" s="8" t="str">
        <f>IFERROR(IF(VLOOKUP($I$4+14,DATABASE!$A$2:$G$81,3,FALSE)="","",VLOOKUP($I$4+14,DATABASE!$A$2:$G$81,3,FALSE)),"")</f>
        <v>CORE I5</v>
      </c>
      <c r="D45" s="16"/>
      <c r="E45" s="13"/>
      <c r="F45" s="8" t="str">
        <f>IFERROR(IF(VLOOKUP($I$4+15,DATABASE!$A$2:$G$81,3,FALSE)="","",VLOOKUP($I$4+15,DATABASE!$A$2:$G$81,3,FALSE)),"")</f>
        <v>CORE I5</v>
      </c>
    </row>
    <row r="46" spans="2:6" ht="20.25" customHeight="1" x14ac:dyDescent="0.2">
      <c r="B46" s="13"/>
      <c r="C46" s="10" t="str">
        <f>IFERROR(IF(VLOOKUP($I$4+14,DATABASE!$A$2:$G$81,4,FALSE)="","",VLOOKUP($I$4+14,DATABASE!$A$2:$G$81,4,FALSE)),"")</f>
        <v>BELANJA MODAL BOS TAHUN 2023</v>
      </c>
      <c r="D46" s="16"/>
      <c r="E46" s="13"/>
      <c r="F46" s="10" t="str">
        <f>IFERROR(IF(VLOOKUP($I$4+15,DATABASE!$A$2:$G$81,4,FALSE)="","",VLOOKUP($I$4+15,DATABASE!$A$2:$G$81,4,FALSE)),"")</f>
        <v>BELANJA MODAL BOS TAHUN 2023</v>
      </c>
    </row>
    <row r="47" spans="2:6" ht="20.25" customHeight="1" x14ac:dyDescent="0.25">
      <c r="B47" s="13"/>
      <c r="C47" s="20" t="str">
        <f>IFERROR(IF(VLOOKUP($I$4+14,DATABASE!$A$2:$G$81,5,FALSE)="","",VLOOKUP($I$4+14,DATABASE!$A$2:$G$81,5,FALSE)),"")</f>
        <v>SMK NEGERI 2 PEKALONGAN</v>
      </c>
      <c r="D47" s="16"/>
      <c r="E47" s="13"/>
      <c r="F47" s="20" t="str">
        <f>IFERROR(IF(VLOOKUP($I$4+15,DATABASE!$A$2:$G$81,5,FALSE)="","",VLOOKUP($I$4+15,DATABASE!$A$2:$G$81,5,FALSE)),"")</f>
        <v>SMK NEGERI 2 PEKALONGAN</v>
      </c>
    </row>
    <row r="48" spans="2:6" ht="20.25" customHeight="1" x14ac:dyDescent="0.25">
      <c r="B48" s="18">
        <f>IFERROR(IF(VLOOKUP($I$4+14,DATABASE!$A$2:$H$81,6,FALSE)="","",VLOOKUP($I$4+14,DATABASE!$A$2:$H$81,6,FALSE)),"")</f>
        <v>2023</v>
      </c>
      <c r="C48" s="28" t="str">
        <f>REPLACE(REPLACE(IFERROR(IF(VLOOKUP($I$4+14,DATABASE!$A$2:$H$81,7,FALSE)="","",VLOOKUP($I$4+14,DATABASE!$A$2:$H$81,7,FALSE)),""),100,100," - "),100,100,IFERROR(IF(VLOOKUP($I$4+14,DATABASE!$A$2:$H$81,8,FALSE)="","",VLOOKUP($I$4+14,DATABASE!$A$2:$H$81,8,FALSE)),""))</f>
        <v>RUANG LAB. OTKP - 0015 (0036)</v>
      </c>
      <c r="D48" s="16"/>
      <c r="E48" s="18">
        <f>IFERROR(IF(VLOOKUP($I$4+15,DATABASE!$A$2:$H$81,6,FALSE)="","",VLOOKUP($I$4+15,DATABASE!$A$2:$H$81,6,FALSE)),"")</f>
        <v>2023</v>
      </c>
      <c r="F48" s="28" t="str">
        <f>REPLACE(REPLACE(IFERROR(IF(VLOOKUP($I$4+15,DATABASE!$A$2:$H$81,7,FALSE)="","",VLOOKUP($I$4+15,DATABASE!$A$2:$H$81,7,FALSE)),""),100,100," - "),100,100,IFERROR(IF(VLOOKUP($I$4+15,DATABASE!$A$2:$H$81,8,FALSE)="","",VLOOKUP($I$4+15,DATABASE!$A$2:$H$81,8,FALSE)),""))</f>
        <v>RUANG LAB. OTKP - 0016 (0036)</v>
      </c>
    </row>
    <row r="49" ht="20.25" customHeight="1" x14ac:dyDescent="0.25"/>
    <row r="50" ht="20.25" customHeight="1" x14ac:dyDescent="0.25"/>
    <row r="51" ht="20.25" customHeight="1" x14ac:dyDescent="0.25"/>
    <row r="52" ht="20.25" customHeight="1" x14ac:dyDescent="0.25"/>
    <row r="53" ht="20.25" customHeight="1" x14ac:dyDescent="0.25"/>
    <row r="54" ht="20.25" customHeight="1" x14ac:dyDescent="0.25"/>
    <row r="55" ht="20.25" customHeight="1" x14ac:dyDescent="0.25"/>
    <row r="56" ht="20.25" customHeight="1" x14ac:dyDescent="0.25"/>
    <row r="57" ht="20.25" customHeight="1" x14ac:dyDescent="0.25"/>
    <row r="58" ht="20.25" customHeight="1" x14ac:dyDescent="0.25"/>
    <row r="59" ht="20.25" customHeight="1" x14ac:dyDescent="0.25"/>
    <row r="60" ht="20.25" customHeight="1" x14ac:dyDescent="0.25"/>
    <row r="61" ht="20.25" customHeight="1" x14ac:dyDescent="0.25"/>
    <row r="62" ht="20.25" customHeight="1" x14ac:dyDescent="0.25"/>
    <row r="63" ht="20.25" customHeight="1" x14ac:dyDescent="0.25"/>
    <row r="64" ht="20.25" customHeight="1" x14ac:dyDescent="0.25"/>
    <row r="65" ht="20.25" customHeight="1" x14ac:dyDescent="0.25"/>
    <row r="66" ht="20.25" customHeight="1" x14ac:dyDescent="0.25"/>
    <row r="67" ht="20.25" customHeight="1" x14ac:dyDescent="0.25"/>
    <row r="68" ht="20.25" customHeight="1" x14ac:dyDescent="0.25"/>
    <row r="69" ht="20.25" customHeight="1" x14ac:dyDescent="0.25"/>
    <row r="70" ht="20.25" customHeight="1" x14ac:dyDescent="0.25"/>
    <row r="71" ht="20.25" customHeight="1" x14ac:dyDescent="0.25"/>
    <row r="72" ht="20.25" customHeight="1" x14ac:dyDescent="0.25"/>
    <row r="73" ht="20.25" customHeight="1" x14ac:dyDescent="0.25"/>
    <row r="74" ht="20.25" customHeight="1" x14ac:dyDescent="0.25"/>
    <row r="75" ht="20.25" customHeight="1" x14ac:dyDescent="0.25"/>
    <row r="76" ht="20.25" customHeight="1" x14ac:dyDescent="0.25"/>
    <row r="77" ht="20.25" customHeight="1" x14ac:dyDescent="0.25"/>
    <row r="78" ht="20.25" customHeight="1" x14ac:dyDescent="0.25"/>
    <row r="79" ht="20.25" customHeight="1" x14ac:dyDescent="0.25"/>
    <row r="80" ht="20.25" customHeight="1" x14ac:dyDescent="0.25"/>
    <row r="81" ht="20.25" customHeight="1" x14ac:dyDescent="0.25"/>
    <row r="82" ht="20.25" customHeight="1" x14ac:dyDescent="0.25"/>
    <row r="83" ht="20.25" customHeight="1" x14ac:dyDescent="0.25"/>
    <row r="84" ht="20.25" customHeight="1" x14ac:dyDescent="0.25"/>
    <row r="85" ht="20.25" customHeight="1" x14ac:dyDescent="0.25"/>
    <row r="86" ht="20.25" customHeight="1" x14ac:dyDescent="0.25"/>
    <row r="87" ht="20.25" customHeight="1" x14ac:dyDescent="0.25"/>
    <row r="88" ht="20.25" customHeight="1" x14ac:dyDescent="0.25"/>
    <row r="89" ht="20.25" customHeight="1" x14ac:dyDescent="0.25"/>
    <row r="90" ht="20.25" customHeight="1" x14ac:dyDescent="0.25"/>
    <row r="91" ht="20.25" customHeight="1" x14ac:dyDescent="0.25"/>
    <row r="92" ht="20.25" customHeight="1" x14ac:dyDescent="0.25"/>
    <row r="93" ht="20.25" customHeight="1" x14ac:dyDescent="0.25"/>
    <row r="94" ht="20.25" customHeight="1" x14ac:dyDescent="0.25"/>
    <row r="95" ht="20.25" customHeight="1" x14ac:dyDescent="0.25"/>
    <row r="96" ht="20.25" customHeight="1" x14ac:dyDescent="0.25"/>
    <row r="97" ht="20.25" customHeight="1" x14ac:dyDescent="0.25"/>
    <row r="98" ht="20.25" customHeight="1" x14ac:dyDescent="0.25"/>
    <row r="99" ht="20.25" customHeight="1" x14ac:dyDescent="0.25"/>
    <row r="100" ht="20.25" customHeight="1" x14ac:dyDescent="0.25"/>
    <row r="101" ht="20.25" customHeight="1" x14ac:dyDescent="0.25"/>
    <row r="102" ht="20.25" customHeight="1" x14ac:dyDescent="0.25"/>
    <row r="103" ht="20.25" customHeight="1" x14ac:dyDescent="0.25"/>
    <row r="104" ht="20.25" customHeight="1" x14ac:dyDescent="0.25"/>
    <row r="105" ht="20.25" customHeight="1" x14ac:dyDescent="0.25"/>
    <row r="106" ht="20.25" customHeight="1" x14ac:dyDescent="0.25"/>
    <row r="107" ht="20.25" customHeight="1" x14ac:dyDescent="0.25"/>
    <row r="108" ht="20.25" customHeight="1" x14ac:dyDescent="0.25"/>
    <row r="109" ht="20.25" customHeight="1" x14ac:dyDescent="0.25"/>
    <row r="110" ht="20.25" customHeight="1" x14ac:dyDescent="0.25"/>
    <row r="111" ht="20.25" customHeight="1" x14ac:dyDescent="0.25"/>
    <row r="112" ht="20.25" customHeight="1" x14ac:dyDescent="0.25"/>
    <row r="113" ht="20.25" customHeight="1" x14ac:dyDescent="0.25"/>
    <row r="114" ht="20.25" customHeight="1" x14ac:dyDescent="0.25"/>
    <row r="115" ht="20.25" customHeight="1" x14ac:dyDescent="0.25"/>
    <row r="116" ht="20.25" customHeight="1" x14ac:dyDescent="0.25"/>
    <row r="117" ht="20.25" customHeight="1" x14ac:dyDescent="0.25"/>
    <row r="118" ht="20.25" customHeight="1" x14ac:dyDescent="0.25"/>
    <row r="119" ht="20.25" customHeight="1" x14ac:dyDescent="0.25"/>
    <row r="120" ht="20.25" customHeight="1" x14ac:dyDescent="0.25"/>
    <row r="121" ht="20.25" customHeight="1" x14ac:dyDescent="0.25"/>
    <row r="122" ht="20.25" customHeight="1" x14ac:dyDescent="0.25"/>
    <row r="123" ht="20.25" customHeight="1" x14ac:dyDescent="0.25"/>
    <row r="124" ht="20.25" customHeight="1" x14ac:dyDescent="0.25"/>
    <row r="125" ht="20.25" customHeight="1" x14ac:dyDescent="0.25"/>
    <row r="126" ht="20.25" customHeight="1" x14ac:dyDescent="0.25"/>
    <row r="127" ht="20.25" customHeight="1" x14ac:dyDescent="0.25"/>
    <row r="128" ht="20.25" customHeight="1" x14ac:dyDescent="0.25"/>
    <row r="129" ht="20.25" customHeight="1" x14ac:dyDescent="0.25"/>
    <row r="130" ht="20.25" customHeight="1" x14ac:dyDescent="0.25"/>
    <row r="131" ht="20.25" customHeight="1" x14ac:dyDescent="0.25"/>
    <row r="132" ht="20.25" customHeight="1" x14ac:dyDescent="0.25"/>
    <row r="133" ht="20.25" customHeight="1" x14ac:dyDescent="0.25"/>
    <row r="134" ht="20.25" customHeight="1" x14ac:dyDescent="0.25"/>
    <row r="135" ht="20.25" customHeight="1" x14ac:dyDescent="0.25"/>
    <row r="136" ht="20.25" customHeight="1" x14ac:dyDescent="0.25"/>
    <row r="137" ht="20.25" customHeight="1" x14ac:dyDescent="0.25"/>
    <row r="138" ht="20.25" customHeight="1" x14ac:dyDescent="0.25"/>
    <row r="139" ht="20.25" customHeight="1" x14ac:dyDescent="0.25"/>
    <row r="140" ht="20.25" customHeight="1" x14ac:dyDescent="0.25"/>
    <row r="141" ht="20.25" customHeight="1" x14ac:dyDescent="0.25"/>
    <row r="142" ht="20.25" customHeight="1" x14ac:dyDescent="0.25"/>
    <row r="143" ht="20.25" customHeight="1" x14ac:dyDescent="0.25"/>
    <row r="144" ht="20.25" customHeight="1" x14ac:dyDescent="0.25"/>
    <row r="145" ht="20.25" customHeight="1" x14ac:dyDescent="0.25"/>
    <row r="146" ht="20.25" customHeight="1" x14ac:dyDescent="0.25"/>
    <row r="147" ht="20.25" customHeight="1" x14ac:dyDescent="0.25"/>
    <row r="148" ht="20.25" customHeight="1" x14ac:dyDescent="0.25"/>
    <row r="149" ht="20.25" customHeight="1" x14ac:dyDescent="0.25"/>
    <row r="150" ht="20.25" customHeight="1" x14ac:dyDescent="0.25"/>
    <row r="151" ht="20.25" customHeight="1" x14ac:dyDescent="0.25"/>
    <row r="152" ht="20.25" customHeight="1" x14ac:dyDescent="0.25"/>
  </sheetData>
  <sheetProtection formatCells="0" formatColumns="0" formatRows="0"/>
  <mergeCells count="8">
    <mergeCell ref="I2:K2"/>
    <mergeCell ref="J4:J7"/>
    <mergeCell ref="I17:K17"/>
    <mergeCell ref="I18:K18"/>
    <mergeCell ref="I3:K3"/>
    <mergeCell ref="I16:K16"/>
    <mergeCell ref="I4:I7"/>
    <mergeCell ref="K4:K7"/>
  </mergeCells>
  <printOptions horizontalCentered="1"/>
  <pageMargins left="0.19685039370078741" right="0.19685039370078741" top="0.19685039370078741" bottom="0.19685039370078741" header="0" footer="0"/>
  <pageSetup paperSize="4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9</xdr:col>
                    <xdr:colOff>57150</xdr:colOff>
                    <xdr:row>3</xdr:row>
                    <xdr:rowOff>19050</xdr:rowOff>
                  </from>
                  <to>
                    <xdr:col>9</xdr:col>
                    <xdr:colOff>571500</xdr:colOff>
                    <xdr:row>6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129"/>
  <sheetViews>
    <sheetView showGridLines="0" zoomScaleNormal="100" zoomScaleSheetLayoutView="100" workbookViewId="0">
      <selection activeCell="I12" sqref="I12"/>
    </sheetView>
  </sheetViews>
  <sheetFormatPr defaultRowHeight="14.25" x14ac:dyDescent="0.25"/>
  <cols>
    <col min="1" max="1" width="1.7109375" style="12" customWidth="1"/>
    <col min="2" max="2" width="11.7109375" style="12" customWidth="1"/>
    <col min="3" max="3" width="36.85546875" style="12" customWidth="1"/>
    <col min="4" max="4" width="1.5703125" style="12" customWidth="1"/>
    <col min="5" max="5" width="11.7109375" style="12" customWidth="1"/>
    <col min="6" max="6" width="36.85546875" style="12" customWidth="1"/>
    <col min="7" max="7" width="1.85546875" style="12" customWidth="1"/>
    <col min="8" max="8" width="9.140625" style="12"/>
    <col min="9" max="9" width="15" style="12" customWidth="1"/>
    <col min="10" max="10" width="9.5703125" style="12" customWidth="1"/>
    <col min="11" max="11" width="13.85546875" style="12" customWidth="1"/>
    <col min="12" max="16384" width="9.140625" style="12"/>
  </cols>
  <sheetData>
    <row r="1" spans="2:11" x14ac:dyDescent="0.25">
      <c r="B1" s="11"/>
      <c r="C1" s="11"/>
      <c r="D1" s="11"/>
      <c r="E1" s="11"/>
      <c r="F1" s="11"/>
      <c r="G1" s="11"/>
      <c r="H1" s="11"/>
    </row>
    <row r="2" spans="2:11" s="15" customFormat="1" ht="20.25" customHeight="1" x14ac:dyDescent="0.2">
      <c r="B2" s="13"/>
      <c r="C2" s="7" t="str">
        <f>IFERROR(IF(VLOOKUP($I$4,DATABASE!$A$2:$H$81,2,FALSE)="","",VLOOKUP($I$4,DATABASE!$A$2:$H$81,2,FALSE)),"")</f>
        <v>PC. UNIT</v>
      </c>
      <c r="D2" s="5"/>
      <c r="E2" s="6"/>
      <c r="F2" s="7" t="str">
        <f>IFERROR(IF(VLOOKUP($I$4+1,DATABASE!$A$2:$G$81,2,FALSE)="","",VLOOKUP($I$4+1,DATABASE!$A$2:$G$81,2,FALSE)),"")</f>
        <v>PC. UNIT</v>
      </c>
      <c r="G2" s="5"/>
      <c r="H2" s="46"/>
      <c r="I2" s="50"/>
      <c r="J2" s="50"/>
      <c r="K2" s="50"/>
    </row>
    <row r="3" spans="2:11" s="15" customFormat="1" ht="20.25" customHeight="1" x14ac:dyDescent="0.25">
      <c r="B3" s="13"/>
      <c r="C3" s="8" t="str">
        <f>IFERROR(IF(VLOOKUP($I$4,DATABASE!$A$2:$H$81,3,FALSE)="","",VLOOKUP($I$4,DATABASE!$A$2:$H$81,3,FALSE)),"")</f>
        <v>INTEL CORE I5-11400F</v>
      </c>
      <c r="D3" s="16"/>
      <c r="E3" s="17"/>
      <c r="F3" s="6" t="str">
        <f>IFERROR(IF(VLOOKUP($I$4+1,DATABASE!$A$2:$G$81,3,FALSE)="","",VLOOKUP($I$4+1,DATABASE!$A$2:$G$81,3,FALSE)),"")</f>
        <v>INTEL CORE I5-11400F</v>
      </c>
      <c r="G3" s="16"/>
      <c r="H3" s="46"/>
      <c r="I3" s="53" t="s">
        <v>3</v>
      </c>
      <c r="J3" s="53"/>
      <c r="K3" s="53"/>
    </row>
    <row r="4" spans="2:11" s="15" customFormat="1" ht="20.25" customHeight="1" x14ac:dyDescent="0.2">
      <c r="B4" s="13"/>
      <c r="C4" s="10" t="str">
        <f>IFERROR(IF(VLOOKUP($I$4,DATABASE!$A$2:$H$81,4,FALSE)="","",VLOOKUP($I$4,DATABASE!$A$2:$H$81,4,FALSE)),"")</f>
        <v>BM BOS TRIWULAN III TAHUN 2023</v>
      </c>
      <c r="D4" s="16"/>
      <c r="E4" s="17"/>
      <c r="F4" s="10" t="str">
        <f>IFERROR(IF(VLOOKUP($I$4+1,DATABASE!$A$2:$G$81,4,FALSE)="","",VLOOKUP($I$4+1,DATABASE!$A$2:$G$81,4,FALSE)),"")</f>
        <v>BM BOS TRIWULAN III TAHUN 2023</v>
      </c>
      <c r="G4" s="16"/>
      <c r="H4" s="46"/>
      <c r="I4" s="55">
        <v>33</v>
      </c>
      <c r="J4" s="51"/>
      <c r="K4" s="56">
        <v>1</v>
      </c>
    </row>
    <row r="5" spans="2:11" s="15" customFormat="1" ht="20.25" customHeight="1" x14ac:dyDescent="0.25">
      <c r="B5" s="13"/>
      <c r="C5" s="20" t="str">
        <f>IFERROR(IF(VLOOKUP($I$4,DATABASE!$A$2:$H$81,5,FALSE)="","",VLOOKUP($I$4,DATABASE!$A$2:$H$81,5,FALSE)),"")</f>
        <v>SMK NEGERI 2 PEKALONGAN</v>
      </c>
      <c r="D5" s="16"/>
      <c r="E5" s="17"/>
      <c r="F5" s="26" t="str">
        <f>IFERROR(IF(VLOOKUP($I$4+1,DATABASE!$A$2:$G$81,5,FALSE)="","",VLOOKUP($I$4+1,DATABASE!$A$2:$G$81,5,FALSE)),"")</f>
        <v>SMK NEGERI 2 PEKALONGAN</v>
      </c>
      <c r="G5" s="16"/>
      <c r="H5" s="46"/>
      <c r="I5" s="55"/>
      <c r="J5" s="51"/>
      <c r="K5" s="56"/>
    </row>
    <row r="6" spans="2:11" s="15" customFormat="1" ht="20.25" customHeight="1" x14ac:dyDescent="0.25">
      <c r="B6" s="18">
        <f>IFERROR(IF(VLOOKUP($I$4,DATABASE!$A$2:$H$81,6,FALSE)="","",VLOOKUP($I$4,DATABASE!$A$2:$H$81,6,FALSE)),"")</f>
        <v>2023</v>
      </c>
      <c r="C6" s="28" t="str">
        <f>REPLACE(REPLACE(IFERROR(IF(VLOOKUP($I$4,DATABASE!$A$2:$H$81,7,FALSE)="","",VLOOKUP($I$4,DATABASE!$A$2:$H$81,7,FALSE)),""),100,100," - "),100,100,IFERROR(IF(VLOOKUP($I$4,DATABASE!$A$2:$H$81,8,FALSE)="","",VLOOKUP($I$4,DATABASE!$A$2:$H$81,8,FALSE)),""))</f>
        <v>RUANG LAB. PSPT - 000001 (000010)</v>
      </c>
      <c r="D6" s="16"/>
      <c r="E6" s="18">
        <f>IFERROR(IF(VLOOKUP($I$4+1,DATABASE!$A$2:$H$81,6,FALSE)="","",VLOOKUP($I$4+1,DATABASE!$A$2:$H$81,6,FALSE)),"")</f>
        <v>2023</v>
      </c>
      <c r="F6" s="28" t="str">
        <f>REPLACE(REPLACE(IFERROR(IF(VLOOKUP($I$4+1,DATABASE!$A$2:$H$81,7,FALSE)="","",VLOOKUP($I$4+1,DATABASE!$A$2:$H$81,7,FALSE)),""),100,100," - "),100,100,IFERROR(IF(VLOOKUP($I$4+1,DATABASE!$A$2:$H$81,8,FALSE)="","",VLOOKUP($I$4+1,DATABASE!$A$2:$H$81,8,FALSE)),""))</f>
        <v>RUANG LAB. PSPT - 000002 (000010)</v>
      </c>
      <c r="G6" s="16"/>
      <c r="H6" s="46"/>
      <c r="I6" s="55"/>
      <c r="J6" s="51"/>
      <c r="K6" s="56"/>
    </row>
    <row r="7" spans="2:11" ht="8.25" customHeight="1" x14ac:dyDescent="0.25">
      <c r="B7" s="11"/>
      <c r="C7" s="11"/>
      <c r="D7" s="16"/>
      <c r="E7" s="16"/>
      <c r="F7" s="16"/>
      <c r="G7" s="16"/>
      <c r="H7" s="11"/>
      <c r="I7" s="55"/>
      <c r="J7" s="51"/>
      <c r="K7" s="56"/>
    </row>
    <row r="8" spans="2:11" ht="20.25" customHeight="1" x14ac:dyDescent="0.2">
      <c r="B8" s="13"/>
      <c r="C8" s="7" t="str">
        <f>IFERROR(IF(VLOOKUP($I$4+2,DATABASE!$A$2:$G$81,2,FALSE)="","",VLOOKUP($I$4+2,DATABASE!$A$2:$G$81,2,FALSE)),"")</f>
        <v>PC. UNIT</v>
      </c>
      <c r="D8" s="5"/>
      <c r="E8" s="13"/>
      <c r="F8" s="7" t="str">
        <f>IFERROR(IF(VLOOKUP($I$4+3,DATABASE!$A$2:$G$81,2,FALSE)="","",VLOOKUP($I$4+3,DATABASE!$A$2:$G$81,2,FALSE)),"")</f>
        <v>PC. UNIT</v>
      </c>
      <c r="G8" s="5"/>
      <c r="H8" s="11"/>
      <c r="I8" s="47" t="s">
        <v>2</v>
      </c>
      <c r="J8" s="47"/>
      <c r="K8" s="47" t="s">
        <v>1</v>
      </c>
    </row>
    <row r="9" spans="2:11" ht="20.25" customHeight="1" x14ac:dyDescent="0.25">
      <c r="B9" s="13"/>
      <c r="C9" s="8" t="str">
        <f>IFERROR(IF(VLOOKUP($I$4+2,DATABASE!$A$2:$G$81,3,FALSE)="","",VLOOKUP($I$4+2,DATABASE!$A$2:$G$81,3,FALSE)),"")</f>
        <v>INTEL CORE I5-11400F</v>
      </c>
      <c r="D9" s="16"/>
      <c r="E9" s="13"/>
      <c r="F9" s="8" t="str">
        <f>IFERROR(IF(VLOOKUP($I$4+3,DATABASE!$A$2:$G$81,3,FALSE)="","",VLOOKUP($I$4+3,DATABASE!$A$2:$G$81,3,FALSE)),"")</f>
        <v>INTEL CORE I5-11400F</v>
      </c>
      <c r="G9" s="16"/>
      <c r="H9" s="11"/>
      <c r="I9" s="29"/>
      <c r="J9" s="29"/>
      <c r="K9" s="29"/>
    </row>
    <row r="10" spans="2:11" ht="20.25" customHeight="1" x14ac:dyDescent="0.2">
      <c r="B10" s="13"/>
      <c r="C10" s="10" t="str">
        <f>IFERROR(IF(VLOOKUP($I$4+2,DATABASE!$A$2:$G$81,4,FALSE)="","",VLOOKUP($I$4+2,DATABASE!$A$2:$G$81,4,FALSE)),"")</f>
        <v>BM BOS TRIWULAN III TAHUN 2023</v>
      </c>
      <c r="D10" s="16"/>
      <c r="E10" s="13"/>
      <c r="F10" s="10" t="str">
        <f>IFERROR(IF(VLOOKUP($I$4+3,DATABASE!$A$2:$G$81,4,FALSE)="","",VLOOKUP($I$4+3,DATABASE!$A$2:$G$81,4,FALSE)),"")</f>
        <v>BM BOS TRIWULAN III TAHUN 2023</v>
      </c>
      <c r="G10" s="16"/>
      <c r="H10" s="11"/>
      <c r="I10" s="29"/>
      <c r="J10" s="11"/>
      <c r="K10" s="11"/>
    </row>
    <row r="11" spans="2:11" ht="20.25" customHeight="1" x14ac:dyDescent="0.25">
      <c r="B11" s="13"/>
      <c r="C11" s="20" t="str">
        <f>IFERROR(IF(VLOOKUP($I$4+2,DATABASE!$A$2:$G$81,5,FALSE)="","",VLOOKUP($I$4+2,DATABASE!$A$2:$G$81,5,FALSE)),"")</f>
        <v>SMK NEGERI 2 PEKALONGAN</v>
      </c>
      <c r="D11" s="16"/>
      <c r="E11" s="13"/>
      <c r="F11" s="20" t="str">
        <f>IFERROR(IF(VLOOKUP($I$4+3,DATABASE!$A$2:$G$81,5,FALSE)="","",VLOOKUP($I$4+3,DATABASE!$A$2:$G$81,5,FALSE)),"")</f>
        <v>SMK NEGERI 2 PEKALONGAN</v>
      </c>
      <c r="G11" s="16"/>
      <c r="H11" s="11"/>
      <c r="I11" s="29"/>
      <c r="J11" s="11"/>
      <c r="K11" s="11"/>
    </row>
    <row r="12" spans="2:11" ht="20.25" customHeight="1" x14ac:dyDescent="0.25">
      <c r="B12" s="18">
        <f>IFERROR(IF(VLOOKUP($I$4+2,DATABASE!$A$2:$H$81,6,FALSE)="","",VLOOKUP($I$4+2,DATABASE!$A$2:$H$81,6,FALSE)),"")</f>
        <v>2023</v>
      </c>
      <c r="C12" s="28" t="str">
        <f>REPLACE(REPLACE(IFERROR(IF(VLOOKUP($I$4+2,DATABASE!$A$2:$H$81,7,FALSE)="","",VLOOKUP($I$4+2,DATABASE!$A$2:$H$81,7,FALSE)),""),100,100," - "),100,100,IFERROR(IF(VLOOKUP($I$4+2,DATABASE!$A$2:$H$81,8,FALSE)="","",VLOOKUP($I$4+2,DATABASE!$A$2:$H$81,8,FALSE)),""))</f>
        <v>RUANG LAB. PSPT - 000003 (000010)</v>
      </c>
      <c r="D12" s="16"/>
      <c r="E12" s="18">
        <f>IFERROR(IF(VLOOKUP($I$4+3,DATABASE!$A$2:$H$81,6,FALSE)="","",VLOOKUP($I$4+3,DATABASE!$A$2:$H$81,6,FALSE)),"")</f>
        <v>2023</v>
      </c>
      <c r="F12" s="28" t="str">
        <f>REPLACE(REPLACE(IFERROR(IF(VLOOKUP($I$4+3,DATABASE!$A$2:$H$81,7,FALSE)="","",VLOOKUP($I$4+3,DATABASE!$A$2:$H$81,7,FALSE)),""),100,100," - "),100,100,IFERROR(IF(VLOOKUP($I$4+3,DATABASE!$A$2:$H$81,8,FALSE)="","",VLOOKUP($I$4+3,DATABASE!$A$2:$H$81,8,FALSE)),""))</f>
        <v>RUANG LAB. PSPT - 000004 (000010)</v>
      </c>
      <c r="G12" s="16"/>
      <c r="H12" s="11"/>
      <c r="I12" s="29"/>
      <c r="J12" s="11"/>
      <c r="K12" s="11"/>
    </row>
    <row r="13" spans="2:11" ht="8.25" customHeight="1" x14ac:dyDescent="0.25">
      <c r="B13" s="21"/>
      <c r="C13" s="22"/>
      <c r="D13" s="16"/>
      <c r="E13" s="16"/>
      <c r="F13" s="16"/>
      <c r="G13" s="16"/>
      <c r="H13" s="11"/>
      <c r="I13" s="23"/>
      <c r="J13" s="11"/>
      <c r="K13" s="46"/>
    </row>
    <row r="14" spans="2:11" ht="20.25" customHeight="1" x14ac:dyDescent="0.2">
      <c r="B14" s="13"/>
      <c r="C14" s="7" t="str">
        <f>IFERROR(IF(VLOOKUP($I$4+4,DATABASE!$A$2:$G$81,2,FALSE)="","",VLOOKUP($I$4+4,DATABASE!$A$2:$G$81,2,FALSE)),"")</f>
        <v>PC. UNIT</v>
      </c>
      <c r="D14" s="5"/>
      <c r="E14" s="13"/>
      <c r="F14" s="7" t="str">
        <f>IFERROR(IF(VLOOKUP($I$4+5,DATABASE!$A$2:$G$81,2,FALSE)="","",VLOOKUP($I$4+5,DATABASE!$A$2:$G$81,2,FALSE)),"")</f>
        <v>PC. UNIT</v>
      </c>
      <c r="G14" s="5"/>
      <c r="H14" s="11"/>
      <c r="I14" s="46"/>
      <c r="J14" s="46"/>
      <c r="K14" s="46"/>
    </row>
    <row r="15" spans="2:11" ht="20.25" customHeight="1" x14ac:dyDescent="0.25">
      <c r="B15" s="13"/>
      <c r="C15" s="8" t="str">
        <f>IFERROR(IF(VLOOKUP($I$4+4,DATABASE!$A$2:$G$81,3,FALSE)="","",VLOOKUP($I$4+4,DATABASE!$A$2:$G$81,3,FALSE)),"")</f>
        <v>INTEL CORE I5-11400F</v>
      </c>
      <c r="D15" s="16"/>
      <c r="E15" s="13"/>
      <c r="F15" s="8" t="str">
        <f>IFERROR(IF(VLOOKUP($I$4+5,DATABASE!$A$2:$G$81,3,FALSE)="","",VLOOKUP($I$4+5,DATABASE!$A$2:$G$81,3,FALSE)),"")</f>
        <v>INTEL CORE I5-11400F</v>
      </c>
      <c r="G15" s="16"/>
      <c r="H15" s="11"/>
      <c r="I15" s="11"/>
      <c r="J15" s="11"/>
      <c r="K15" s="11"/>
    </row>
    <row r="16" spans="2:11" ht="20.25" customHeight="1" x14ac:dyDescent="0.2">
      <c r="B16" s="13"/>
      <c r="C16" s="10" t="str">
        <f>IFERROR(IF(VLOOKUP($I$4+4,DATABASE!$A$2:$G$81,4,FALSE)="","",VLOOKUP($I$4+4,DATABASE!$A$2:$G$81,4,FALSE)),"")</f>
        <v>BM BOS TRIWULAN III TAHUN 2023</v>
      </c>
      <c r="D16" s="16"/>
      <c r="E16" s="13"/>
      <c r="F16" s="10" t="str">
        <f>IFERROR(IF(VLOOKUP($I$4+5,DATABASE!$A$2:$G$81,4,FALSE)="","",VLOOKUP($I$4+5,DATABASE!$A$2:$G$81,4,FALSE)),"")</f>
        <v>BM BOS TRIWULAN III TAHUN 2023</v>
      </c>
      <c r="G16" s="16"/>
      <c r="H16" s="11"/>
      <c r="I16" s="54"/>
      <c r="J16" s="54"/>
      <c r="K16" s="54"/>
    </row>
    <row r="17" spans="2:11" ht="20.25" customHeight="1" x14ac:dyDescent="0.25">
      <c r="B17" s="13"/>
      <c r="C17" s="20" t="str">
        <f>IFERROR(IF(VLOOKUP($I$4+4,DATABASE!$A$2:$G$81,5,FALSE)="","",VLOOKUP($I$4+4,DATABASE!$A$2:$G$81,5,FALSE)),"")</f>
        <v>SMK NEGERI 2 PEKALONGAN</v>
      </c>
      <c r="D17" s="16"/>
      <c r="E17" s="13"/>
      <c r="F17" s="20" t="str">
        <f>IFERROR(IF(VLOOKUP($I$4+5,DATABASE!$A$2:$G$81,5,FALSE)="","",VLOOKUP($I$4+5,DATABASE!$A$2:$G$81,5,FALSE)),"")</f>
        <v>SMK NEGERI 2 PEKALONGAN</v>
      </c>
      <c r="G17" s="16"/>
      <c r="H17" s="11"/>
      <c r="I17" s="52"/>
      <c r="J17" s="52"/>
      <c r="K17" s="52"/>
    </row>
    <row r="18" spans="2:11" ht="20.25" customHeight="1" x14ac:dyDescent="0.25">
      <c r="B18" s="18">
        <f>IFERROR(IF(VLOOKUP($I$4+4,DATABASE!$A$2:$H$81,6,FALSE)="","",VLOOKUP($I$4+4,DATABASE!$A$2:$H$81,6,FALSE)),"")</f>
        <v>2023</v>
      </c>
      <c r="C18" s="28" t="str">
        <f>REPLACE(REPLACE(IFERROR(IF(VLOOKUP($I$4+4,DATABASE!$A$2:$H$81,7,FALSE)="","",VLOOKUP($I$4+4,DATABASE!$A$2:$H$81,7,FALSE)),""),100,100," - "),100,100,IFERROR(IF(VLOOKUP($I$4+4,DATABASE!$A$2:$H$81,8,FALSE)="","",VLOOKUP($I$4+4,DATABASE!$A$2:$H$81,8,FALSE)),""))</f>
        <v>RUANG LAB. PSPT - 000005 (000010)</v>
      </c>
      <c r="D18" s="16"/>
      <c r="E18" s="18">
        <f>IFERROR(IF(VLOOKUP($I$4+5,DATABASE!$A$2:$H$81,6,FALSE)="","",VLOOKUP($I$4+5,DATABASE!$A$2:$H$81,6,FALSE)),"")</f>
        <v>2023</v>
      </c>
      <c r="F18" s="28" t="str">
        <f>REPLACE(REPLACE(IFERROR(IF(VLOOKUP($I$4+5,DATABASE!$A$2:$H$81,7,FALSE)="","",VLOOKUP($I$4+5,DATABASE!$A$2:$H$81,7,FALSE)),""),100,100," - "),100,100,IFERROR(IF(VLOOKUP($I$4+5,DATABASE!$A$2:$H$81,8,FALSE)="","",VLOOKUP($I$4+5,DATABASE!$A$2:$H$81,8,FALSE)),""))</f>
        <v>RUANG LAB. PSPT - 000006 (000010)</v>
      </c>
      <c r="G18" s="16"/>
      <c r="H18" s="11"/>
      <c r="I18" s="50"/>
      <c r="J18" s="50"/>
      <c r="K18" s="50"/>
    </row>
    <row r="19" spans="2:11" ht="7.5" customHeight="1" x14ac:dyDescent="0.25">
      <c r="B19" s="11"/>
      <c r="C19" s="9"/>
      <c r="D19" s="5"/>
      <c r="E19" s="11"/>
      <c r="F19" s="9"/>
      <c r="G19" s="5"/>
      <c r="H19" s="11"/>
      <c r="I19" s="11"/>
      <c r="J19" s="11"/>
      <c r="K19" s="11"/>
    </row>
    <row r="20" spans="2:11" ht="20.25" customHeight="1" x14ac:dyDescent="0.2">
      <c r="B20" s="13"/>
      <c r="C20" s="7" t="str">
        <f>IFERROR(IF(VLOOKUP($I$4+6,DATABASE!$A$2:$G$81,2,FALSE)="","",VLOOKUP($I$4+6,DATABASE!$A$2:$G$81,2,FALSE)),"")</f>
        <v>PC. UNIT</v>
      </c>
      <c r="D20" s="5"/>
      <c r="E20" s="13"/>
      <c r="F20" s="7" t="str">
        <f>IFERROR(IF(VLOOKUP($I$4+7,DATABASE!$A$2:$G$81,2,FALSE)="","",VLOOKUP($I$4+7,DATABASE!$A$2:$G$81,2,FALSE)),"")</f>
        <v>PC. UNIT</v>
      </c>
      <c r="G20" s="16"/>
      <c r="H20" s="11"/>
    </row>
    <row r="21" spans="2:11" ht="20.25" customHeight="1" x14ac:dyDescent="0.25">
      <c r="B21" s="13"/>
      <c r="C21" s="8" t="str">
        <f>IFERROR(IF(VLOOKUP($I$4+6,DATABASE!$A$2:$G$81,3,FALSE)="","",VLOOKUP($I$4+6,DATABASE!$A$2:$G$81,3,FALSE)),"")</f>
        <v>INTEL CORE I5-11400F</v>
      </c>
      <c r="D21" s="16"/>
      <c r="E21" s="13"/>
      <c r="F21" s="8" t="str">
        <f>IFERROR(IF(VLOOKUP($I$4+7,DATABASE!$A$2:$G$81,3,FALSE)="","",VLOOKUP($I$4+7,DATABASE!$A$2:$G$81,3,FALSE)),"")</f>
        <v>INTEL CORE I5-11400F</v>
      </c>
      <c r="G21" s="16"/>
      <c r="H21" s="11"/>
    </row>
    <row r="22" spans="2:11" ht="20.25" customHeight="1" x14ac:dyDescent="0.2">
      <c r="B22" s="13"/>
      <c r="C22" s="10" t="str">
        <f>IFERROR(IF(VLOOKUP($I$4+6,DATABASE!$A$2:$G$81,4,FALSE)="","",VLOOKUP($I$4+6,DATABASE!$A$2:$G$81,4,FALSE)),"")</f>
        <v>BM BOS TRIWULAN III TAHUN 2023</v>
      </c>
      <c r="D22" s="16"/>
      <c r="E22" s="13"/>
      <c r="F22" s="10" t="str">
        <f>IFERROR(IF(VLOOKUP($I$4+7,DATABASE!$A$2:$G$81,4,FALSE)="","",VLOOKUP($I$4+7,DATABASE!$A$2:$G$81,4,FALSE)),"")</f>
        <v>BM BOS TRIWULAN III TAHUN 2023</v>
      </c>
      <c r="G22" s="16"/>
      <c r="H22" s="11"/>
    </row>
    <row r="23" spans="2:11" ht="20.25" customHeight="1" x14ac:dyDescent="0.25">
      <c r="B23" s="13"/>
      <c r="C23" s="20" t="str">
        <f>IFERROR(IF(VLOOKUP($I$4+6,DATABASE!$A$2:$G$81,5,FALSE)="","",VLOOKUP($I$4+6,DATABASE!$A$2:$G$81,5,FALSE)),"")</f>
        <v>SMK NEGERI 2 PEKALONGAN</v>
      </c>
      <c r="D23" s="16"/>
      <c r="E23" s="13"/>
      <c r="F23" s="20" t="str">
        <f>IFERROR(IF(VLOOKUP($I$4+7,DATABASE!$A$2:$G$81,5,FALSE)="","",VLOOKUP($I$4+7,DATABASE!$A$2:$G$81,5,FALSE)),"")</f>
        <v>SMK NEGERI 2 PEKALONGAN</v>
      </c>
      <c r="G23" s="11"/>
      <c r="H23" s="11"/>
    </row>
    <row r="24" spans="2:11" ht="20.25" customHeight="1" x14ac:dyDescent="0.25">
      <c r="B24" s="18">
        <f>IFERROR(IF(VLOOKUP($I$4+6,DATABASE!$A$2:$H$81,6,FALSE)="","",VLOOKUP($I$4+6,DATABASE!$A$2:$H$81,6,FALSE)),"")</f>
        <v>2023</v>
      </c>
      <c r="C24" s="28" t="str">
        <f>REPLACE(REPLACE(IFERROR(IF(VLOOKUP($I$4+6,DATABASE!$A$2:$H$81,7,FALSE)="","",VLOOKUP($I$4+6,DATABASE!$A$2:$H$81,7,FALSE)),""),100,100," - "),100,100,IFERROR(IF(VLOOKUP($I$4+6,DATABASE!$A$2:$H$81,8,FALSE)="","",VLOOKUP($I$4+6,DATABASE!$A$2:$H$81,8,FALSE)),""))</f>
        <v>RUANG LAB. PSPT - 000007 (000010)</v>
      </c>
      <c r="D24" s="16"/>
      <c r="E24" s="18">
        <f>IFERROR(IF(VLOOKUP($I$4+7,DATABASE!$A$2:$H$81,6,FALSE)="","",VLOOKUP($I$4+7,DATABASE!$A$2:$H$81,6,FALSE)),"")</f>
        <v>2023</v>
      </c>
      <c r="F24" s="28" t="str">
        <f>REPLACE(REPLACE(IFERROR(IF(VLOOKUP($I$4+7,DATABASE!$A$2:$H$81,7,FALSE)="","",VLOOKUP($I$4+7,DATABASE!$A$2:$H$81,7,FALSE)),""),100,100," - "),100,100,IFERROR(IF(VLOOKUP($I$4+7,DATABASE!$A$2:$H$81,8,FALSE)="","",VLOOKUP($I$4+7,DATABASE!$A$2:$H$81,8,FALSE)),""))</f>
        <v>RUANG LAB. PSPT - 000008 (000010)</v>
      </c>
      <c r="G24" s="11"/>
      <c r="H24" s="11"/>
    </row>
    <row r="25" spans="2:11" ht="8.25" customHeight="1" x14ac:dyDescent="0.25">
      <c r="B25" s="21"/>
      <c r="C25" s="22"/>
      <c r="D25" s="16"/>
      <c r="E25" s="16"/>
      <c r="F25" s="16"/>
    </row>
    <row r="26" spans="2:11" ht="20.25" customHeight="1" x14ac:dyDescent="0.2">
      <c r="B26" s="13"/>
      <c r="C26" s="7" t="str">
        <f>IFERROR(IF(VLOOKUP($I$4+8,DATABASE!$A$2:$G$81,2,FALSE)="","",VLOOKUP($I$4+8,DATABASE!$A$2:$G$81,2,FALSE)),"")</f>
        <v>PC. UNIT</v>
      </c>
      <c r="D26" s="5"/>
      <c r="E26" s="13"/>
      <c r="F26" s="7" t="str">
        <f>IFERROR(IF(VLOOKUP($I$4+9,DATABASE!$A$2:$G$81,2,FALSE)="","",VLOOKUP($I$4+9,DATABASE!$A$2:$G$81,2,FALSE)),"")</f>
        <v>PC. UNIT</v>
      </c>
    </row>
    <row r="27" spans="2:11" ht="20.25" customHeight="1" x14ac:dyDescent="0.25">
      <c r="B27" s="13"/>
      <c r="C27" s="8" t="str">
        <f>IFERROR(IF(VLOOKUP($I$4+8,DATABASE!$A$2:$G$81,3,FALSE)="","",VLOOKUP($I$4+8,DATABASE!$A$2:$G$81,3,FALSE)),"")</f>
        <v>INTEL CORE I5-11400F</v>
      </c>
      <c r="D27" s="16"/>
      <c r="E27" s="13"/>
      <c r="F27" s="8" t="str">
        <f>IFERROR(IF(VLOOKUP($I$4+9,DATABASE!$A$2:$G$81,3,FALSE)="","",VLOOKUP($I$4+9,DATABASE!$A$2:$G$81,3,FALSE)),"")</f>
        <v>INTEL CORE I5-11400F</v>
      </c>
    </row>
    <row r="28" spans="2:11" ht="20.25" customHeight="1" x14ac:dyDescent="0.2">
      <c r="B28" s="13"/>
      <c r="C28" s="10" t="str">
        <f>IFERROR(IF(VLOOKUP($I$4+8,DATABASE!$A$2:$G$81,4,FALSE)="","",VLOOKUP($I$4+8,DATABASE!$A$2:$G$81,4,FALSE)),"")</f>
        <v>BM BOS TRIWULAN III TAHUN 2023</v>
      </c>
      <c r="D28" s="16"/>
      <c r="E28" s="13"/>
      <c r="F28" s="10" t="str">
        <f>IFERROR(IF(VLOOKUP($I$4+9,DATABASE!$A$2:$G$81,4,FALSE)="","",VLOOKUP($I$4+9,DATABASE!$A$2:$G$81,4,FALSE)),"")</f>
        <v>BM BOS TRIWULAN III TAHUN 2023</v>
      </c>
    </row>
    <row r="29" spans="2:11" ht="20.25" customHeight="1" x14ac:dyDescent="0.25">
      <c r="B29" s="13"/>
      <c r="C29" s="20" t="str">
        <f>IFERROR(IF(VLOOKUP($I$4+8,DATABASE!$A$2:$G$81,5,FALSE)="","",VLOOKUP($I$4+8,DATABASE!$A$2:$G$81,5,FALSE)),"")</f>
        <v>SMK NEGERI 2 PEKALONGAN</v>
      </c>
      <c r="D29" s="16"/>
      <c r="E29" s="13"/>
      <c r="F29" s="20" t="str">
        <f>IFERROR(IF(VLOOKUP($I$4+9,DATABASE!$A$2:$G$81,5,FALSE)="","",VLOOKUP($I$4+9,DATABASE!$A$2:$G$81,5,FALSE)),"")</f>
        <v>SMK NEGERI 2 PEKALONGAN</v>
      </c>
    </row>
    <row r="30" spans="2:11" ht="20.25" customHeight="1" x14ac:dyDescent="0.25">
      <c r="B30" s="18">
        <f>IFERROR(IF(VLOOKUP($I$4+8,DATABASE!$A$2:$H$81,6,FALSE)="","",VLOOKUP($I$4+8,DATABASE!$A$2:$H$81,6,FALSE)),"")</f>
        <v>2023</v>
      </c>
      <c r="C30" s="28" t="str">
        <f>REPLACE(REPLACE(IFERROR(IF(VLOOKUP($I$4+8,DATABASE!$A$2:$H$81,7,FALSE)="","",VLOOKUP($I$4+8,DATABASE!$A$2:$H$81,7,FALSE)),""),100,100," - "),100,100,IFERROR(IF(VLOOKUP($I$4+8,DATABASE!$A$2:$H$81,8,FALSE)="","",VLOOKUP($I$4+8,DATABASE!$A$2:$H$81,8,FALSE)),""))</f>
        <v>RUANG LAB. PSPT - 000009 (000010)</v>
      </c>
      <c r="D30" s="16"/>
      <c r="E30" s="18">
        <f>IFERROR(IF(VLOOKUP($I$4+9,DATABASE!$A$2:$H$81,6,FALSE)="","",VLOOKUP($I$4+9,DATABASE!$A$2:$H$81,6,FALSE)),"")</f>
        <v>2023</v>
      </c>
      <c r="F30" s="28" t="str">
        <f>REPLACE(REPLACE(IFERROR(IF(VLOOKUP($I$4+9,DATABASE!$A$2:$H$81,7,FALSE)="","",VLOOKUP($I$4+9,DATABASE!$A$2:$H$81,7,FALSE)),""),100,100," - "),100,100,IFERROR(IF(VLOOKUP($I$4+9,DATABASE!$A$2:$H$81,8,FALSE)="","",VLOOKUP($I$4+9,DATABASE!$A$2:$H$81,8,FALSE)),""))</f>
        <v>RUANG LAB. PSPT - 000010 (000010)</v>
      </c>
    </row>
    <row r="31" spans="2:11" ht="7.5" customHeight="1" x14ac:dyDescent="0.25"/>
    <row r="32" spans="2:11" ht="20.25" customHeight="1" x14ac:dyDescent="0.25"/>
    <row r="33" ht="20.25" customHeight="1" x14ac:dyDescent="0.25"/>
    <row r="34" ht="20.25" customHeight="1" x14ac:dyDescent="0.25"/>
    <row r="35" ht="20.25" customHeight="1" x14ac:dyDescent="0.25"/>
    <row r="36" ht="20.25" customHeight="1" x14ac:dyDescent="0.25"/>
    <row r="37" ht="20.25" customHeight="1" x14ac:dyDescent="0.25"/>
    <row r="38" ht="20.25" customHeight="1" x14ac:dyDescent="0.25"/>
    <row r="39" ht="20.25" customHeight="1" x14ac:dyDescent="0.25"/>
    <row r="40" ht="20.25" customHeight="1" x14ac:dyDescent="0.25"/>
    <row r="41" ht="20.25" customHeight="1" x14ac:dyDescent="0.25"/>
    <row r="42" ht="20.25" customHeight="1" x14ac:dyDescent="0.25"/>
    <row r="43" ht="20.25" customHeight="1" x14ac:dyDescent="0.25"/>
    <row r="44" ht="20.25" customHeight="1" x14ac:dyDescent="0.25"/>
    <row r="45" ht="20.25" customHeight="1" x14ac:dyDescent="0.25"/>
    <row r="46" ht="20.25" customHeight="1" x14ac:dyDescent="0.25"/>
    <row r="47" ht="20.25" customHeight="1" x14ac:dyDescent="0.25"/>
    <row r="48" ht="20.25" customHeight="1" x14ac:dyDescent="0.25"/>
    <row r="49" ht="20.25" customHeight="1" x14ac:dyDescent="0.25"/>
    <row r="50" ht="20.25" customHeight="1" x14ac:dyDescent="0.25"/>
    <row r="51" ht="20.25" customHeight="1" x14ac:dyDescent="0.25"/>
    <row r="52" ht="20.25" customHeight="1" x14ac:dyDescent="0.25"/>
    <row r="53" ht="20.25" customHeight="1" x14ac:dyDescent="0.25"/>
    <row r="54" ht="20.25" customHeight="1" x14ac:dyDescent="0.25"/>
    <row r="55" ht="20.25" customHeight="1" x14ac:dyDescent="0.25"/>
    <row r="56" ht="20.25" customHeight="1" x14ac:dyDescent="0.25"/>
    <row r="57" ht="20.25" customHeight="1" x14ac:dyDescent="0.25"/>
    <row r="58" ht="20.25" customHeight="1" x14ac:dyDescent="0.25"/>
    <row r="59" ht="20.25" customHeight="1" x14ac:dyDescent="0.25"/>
    <row r="60" ht="20.25" customHeight="1" x14ac:dyDescent="0.25"/>
    <row r="61" ht="20.25" customHeight="1" x14ac:dyDescent="0.25"/>
    <row r="62" ht="20.25" customHeight="1" x14ac:dyDescent="0.25"/>
    <row r="63" ht="20.25" customHeight="1" x14ac:dyDescent="0.25"/>
    <row r="64" ht="20.25" customHeight="1" x14ac:dyDescent="0.25"/>
    <row r="65" ht="20.25" customHeight="1" x14ac:dyDescent="0.25"/>
    <row r="66" ht="20.25" customHeight="1" x14ac:dyDescent="0.25"/>
    <row r="67" ht="20.25" customHeight="1" x14ac:dyDescent="0.25"/>
    <row r="68" ht="20.25" customHeight="1" x14ac:dyDescent="0.25"/>
    <row r="69" ht="20.25" customHeight="1" x14ac:dyDescent="0.25"/>
    <row r="70" ht="20.25" customHeight="1" x14ac:dyDescent="0.25"/>
    <row r="71" ht="20.25" customHeight="1" x14ac:dyDescent="0.25"/>
    <row r="72" ht="20.25" customHeight="1" x14ac:dyDescent="0.25"/>
    <row r="73" ht="20.25" customHeight="1" x14ac:dyDescent="0.25"/>
    <row r="74" ht="20.25" customHeight="1" x14ac:dyDescent="0.25"/>
    <row r="75" ht="20.25" customHeight="1" x14ac:dyDescent="0.25"/>
    <row r="76" ht="20.25" customHeight="1" x14ac:dyDescent="0.25"/>
    <row r="77" ht="20.25" customHeight="1" x14ac:dyDescent="0.25"/>
    <row r="78" ht="20.25" customHeight="1" x14ac:dyDescent="0.25"/>
    <row r="79" ht="20.25" customHeight="1" x14ac:dyDescent="0.25"/>
    <row r="80" ht="20.25" customHeight="1" x14ac:dyDescent="0.25"/>
    <row r="81" ht="20.25" customHeight="1" x14ac:dyDescent="0.25"/>
    <row r="82" ht="20.25" customHeight="1" x14ac:dyDescent="0.25"/>
    <row r="83" ht="20.25" customHeight="1" x14ac:dyDescent="0.25"/>
    <row r="84" ht="20.25" customHeight="1" x14ac:dyDescent="0.25"/>
    <row r="85" ht="20.25" customHeight="1" x14ac:dyDescent="0.25"/>
    <row r="86" ht="20.25" customHeight="1" x14ac:dyDescent="0.25"/>
    <row r="87" ht="20.25" customHeight="1" x14ac:dyDescent="0.25"/>
    <row r="88" ht="20.25" customHeight="1" x14ac:dyDescent="0.25"/>
    <row r="89" ht="20.25" customHeight="1" x14ac:dyDescent="0.25"/>
    <row r="90" ht="20.25" customHeight="1" x14ac:dyDescent="0.25"/>
    <row r="91" ht="20.25" customHeight="1" x14ac:dyDescent="0.25"/>
    <row r="92" ht="20.25" customHeight="1" x14ac:dyDescent="0.25"/>
    <row r="93" ht="20.25" customHeight="1" x14ac:dyDescent="0.25"/>
    <row r="94" ht="20.25" customHeight="1" x14ac:dyDescent="0.25"/>
    <row r="95" ht="20.25" customHeight="1" x14ac:dyDescent="0.25"/>
    <row r="96" ht="20.25" customHeight="1" x14ac:dyDescent="0.25"/>
    <row r="97" ht="20.25" customHeight="1" x14ac:dyDescent="0.25"/>
    <row r="98" ht="20.25" customHeight="1" x14ac:dyDescent="0.25"/>
    <row r="99" ht="20.25" customHeight="1" x14ac:dyDescent="0.25"/>
    <row r="100" ht="20.25" customHeight="1" x14ac:dyDescent="0.25"/>
    <row r="101" ht="20.25" customHeight="1" x14ac:dyDescent="0.25"/>
    <row r="102" ht="20.25" customHeight="1" x14ac:dyDescent="0.25"/>
    <row r="103" ht="20.25" customHeight="1" x14ac:dyDescent="0.25"/>
    <row r="104" ht="20.25" customHeight="1" x14ac:dyDescent="0.25"/>
    <row r="105" ht="20.25" customHeight="1" x14ac:dyDescent="0.25"/>
    <row r="106" ht="20.25" customHeight="1" x14ac:dyDescent="0.25"/>
    <row r="107" ht="20.25" customHeight="1" x14ac:dyDescent="0.25"/>
    <row r="108" ht="20.25" customHeight="1" x14ac:dyDescent="0.25"/>
    <row r="109" ht="20.25" customHeight="1" x14ac:dyDescent="0.25"/>
    <row r="110" ht="20.25" customHeight="1" x14ac:dyDescent="0.25"/>
    <row r="111" ht="20.25" customHeight="1" x14ac:dyDescent="0.25"/>
    <row r="112" ht="20.25" customHeight="1" x14ac:dyDescent="0.25"/>
    <row r="113" ht="20.25" customHeight="1" x14ac:dyDescent="0.25"/>
    <row r="114" ht="20.25" customHeight="1" x14ac:dyDescent="0.25"/>
    <row r="115" ht="20.25" customHeight="1" x14ac:dyDescent="0.25"/>
    <row r="116" ht="20.25" customHeight="1" x14ac:dyDescent="0.25"/>
    <row r="117" ht="20.25" customHeight="1" x14ac:dyDescent="0.25"/>
    <row r="118" ht="20.25" customHeight="1" x14ac:dyDescent="0.25"/>
    <row r="119" ht="20.25" customHeight="1" x14ac:dyDescent="0.25"/>
    <row r="120" ht="20.25" customHeight="1" x14ac:dyDescent="0.25"/>
    <row r="121" ht="20.25" customHeight="1" x14ac:dyDescent="0.25"/>
    <row r="122" ht="20.25" customHeight="1" x14ac:dyDescent="0.25"/>
    <row r="123" ht="20.25" customHeight="1" x14ac:dyDescent="0.25"/>
    <row r="124" ht="20.25" customHeight="1" x14ac:dyDescent="0.25"/>
    <row r="125" ht="20.25" customHeight="1" x14ac:dyDescent="0.25"/>
    <row r="126" ht="20.25" customHeight="1" x14ac:dyDescent="0.25"/>
    <row r="127" ht="20.25" customHeight="1" x14ac:dyDescent="0.25"/>
    <row r="128" ht="20.25" customHeight="1" x14ac:dyDescent="0.25"/>
    <row r="129" ht="20.25" customHeight="1" x14ac:dyDescent="0.25"/>
  </sheetData>
  <sheetProtection formatCells="0" formatColumns="0" formatRows="0"/>
  <mergeCells count="8">
    <mergeCell ref="I17:K17"/>
    <mergeCell ref="I18:K18"/>
    <mergeCell ref="I2:K2"/>
    <mergeCell ref="I3:K3"/>
    <mergeCell ref="I4:I7"/>
    <mergeCell ref="J4:J7"/>
    <mergeCell ref="K4:K7"/>
    <mergeCell ref="I16:K16"/>
  </mergeCells>
  <printOptions horizontalCentered="1"/>
  <pageMargins left="0.19685039370078741" right="0.19685039370078741" top="0.19685039370078741" bottom="0.19685039370078741" header="0" footer="0"/>
  <pageSetup paperSize="1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Spinner 1">
              <controlPr defaultSize="0" autoPict="0">
                <anchor moveWithCells="1" sizeWithCells="1">
                  <from>
                    <xdr:col>9</xdr:col>
                    <xdr:colOff>57150</xdr:colOff>
                    <xdr:row>3</xdr:row>
                    <xdr:rowOff>19050</xdr:rowOff>
                  </from>
                  <to>
                    <xdr:col>9</xdr:col>
                    <xdr:colOff>571500</xdr:colOff>
                    <xdr:row>6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58"/>
  <sheetViews>
    <sheetView showGridLines="0" zoomScaleNormal="100" zoomScaleSheetLayoutView="100" workbookViewId="0">
      <selection activeCell="I14" sqref="I14"/>
    </sheetView>
  </sheetViews>
  <sheetFormatPr defaultRowHeight="14.25" x14ac:dyDescent="0.25"/>
  <cols>
    <col min="1" max="1" width="1.7109375" style="12" customWidth="1"/>
    <col min="2" max="2" width="11.7109375" style="12" customWidth="1"/>
    <col min="3" max="3" width="36.85546875" style="12" customWidth="1"/>
    <col min="4" max="4" width="1.28515625" style="12" customWidth="1"/>
    <col min="5" max="5" width="11.7109375" style="12" customWidth="1"/>
    <col min="6" max="6" width="36.85546875" style="12" customWidth="1"/>
    <col min="7" max="7" width="1.85546875" style="12" customWidth="1"/>
    <col min="8" max="8" width="9.140625" style="12"/>
    <col min="9" max="9" width="15" style="12" customWidth="1"/>
    <col min="10" max="10" width="9.5703125" style="12" customWidth="1"/>
    <col min="11" max="11" width="13.85546875" style="12" customWidth="1"/>
    <col min="12" max="16384" width="9.140625" style="12"/>
  </cols>
  <sheetData>
    <row r="1" spans="2:11" x14ac:dyDescent="0.25">
      <c r="B1" s="11"/>
      <c r="C1" s="11"/>
      <c r="D1" s="11"/>
      <c r="E1" s="11"/>
      <c r="F1" s="11"/>
      <c r="G1" s="11"/>
      <c r="H1" s="11"/>
    </row>
    <row r="2" spans="2:11" s="15" customFormat="1" ht="20.25" customHeight="1" x14ac:dyDescent="0.2">
      <c r="B2" s="13"/>
      <c r="C2" s="7" t="str">
        <f>IFERROR(IF(VLOOKUP($I$4,DATABASE!$A$2:$H$81,2,FALSE)="","",VLOOKUP($I$4,DATABASE!$A$2:$H$81,2,FALSE)),"")</f>
        <v>KIPAS ANGIN</v>
      </c>
      <c r="D2" s="5"/>
      <c r="E2" s="6"/>
      <c r="F2" s="7" t="str">
        <f>IFERROR(IF(VLOOKUP($I$4+1,DATABASE!$A$2:$G$81,2,FALSE)="","",VLOOKUP($I$4+1,DATABASE!$A$2:$G$81,2,FALSE)),"")</f>
        <v>KIPAS ANGIN</v>
      </c>
      <c r="G2" s="5"/>
      <c r="H2" s="30"/>
      <c r="I2" s="50"/>
      <c r="J2" s="50"/>
      <c r="K2" s="50"/>
    </row>
    <row r="3" spans="2:11" s="15" customFormat="1" ht="20.25" customHeight="1" x14ac:dyDescent="0.25">
      <c r="B3" s="13"/>
      <c r="C3" s="8" t="str">
        <f>IFERROR(IF(VLOOKUP($I$4,DATABASE!$A$2:$H$81,3,FALSE)="","",VLOOKUP($I$4,DATABASE!$A$2:$H$81,3,FALSE)),"")</f>
        <v>ADVANCE DIGITAL</v>
      </c>
      <c r="D3" s="16"/>
      <c r="E3" s="17"/>
      <c r="F3" s="6" t="str">
        <f>IFERROR(IF(VLOOKUP($I$4+1,DATABASE!$A$2:$G$81,3,FALSE)="","",VLOOKUP($I$4+1,DATABASE!$A$2:$G$81,3,FALSE)),"")</f>
        <v>ADVANCE DIGITAL</v>
      </c>
      <c r="G3" s="16"/>
      <c r="H3" s="30"/>
      <c r="I3" s="53" t="s">
        <v>3</v>
      </c>
      <c r="J3" s="53"/>
      <c r="K3" s="53"/>
    </row>
    <row r="4" spans="2:11" s="15" customFormat="1" ht="20.25" customHeight="1" x14ac:dyDescent="0.2">
      <c r="B4" s="13"/>
      <c r="C4" s="10" t="str">
        <f>IFERROR(IF(VLOOKUP($I$4,DATABASE!$A$2:$H$81,4,FALSE)="","",VLOOKUP($I$4,DATABASE!$A$2:$H$81,4,FALSE)),"")</f>
        <v>BM BOS TRIWULAN III TAHUN 2023</v>
      </c>
      <c r="D4" s="16"/>
      <c r="E4" s="17"/>
      <c r="F4" s="10" t="str">
        <f>IFERROR(IF(VLOOKUP($I$4+1,DATABASE!$A$2:$G$81,4,FALSE)="","",VLOOKUP($I$4+1,DATABASE!$A$2:$G$81,4,FALSE)),"")</f>
        <v>BM BOS TRIWULAN III TAHUN 2023</v>
      </c>
      <c r="G4" s="16"/>
      <c r="H4" s="30"/>
      <c r="I4" s="55">
        <v>43</v>
      </c>
      <c r="J4" s="51"/>
      <c r="K4" s="56"/>
    </row>
    <row r="5" spans="2:11" s="15" customFormat="1" ht="20.25" customHeight="1" x14ac:dyDescent="0.25">
      <c r="B5" s="13"/>
      <c r="C5" s="20" t="str">
        <f>IFERROR(IF(VLOOKUP($I$4,DATABASE!$A$2:$H$81,5,FALSE)="","",VLOOKUP($I$4,DATABASE!$A$2:$H$81,5,FALSE)),"")</f>
        <v>SMK NEGERI 2 PEKALONGAN</v>
      </c>
      <c r="D5" s="16"/>
      <c r="E5" s="17"/>
      <c r="F5" s="26" t="str">
        <f>IFERROR(IF(VLOOKUP($I$4+1,DATABASE!$A$2:$G$81,5,FALSE)="","",VLOOKUP($I$4+1,DATABASE!$A$2:$G$81,5,FALSE)),"")</f>
        <v>SMK NEGERI 2 PEKALONGAN</v>
      </c>
      <c r="G5" s="16"/>
      <c r="H5" s="30"/>
      <c r="I5" s="55"/>
      <c r="J5" s="51"/>
      <c r="K5" s="56"/>
    </row>
    <row r="6" spans="2:11" s="15" customFormat="1" ht="20.25" customHeight="1" x14ac:dyDescent="0.25">
      <c r="B6" s="18">
        <f>IFERROR(IF(VLOOKUP($I$4,DATABASE!$A$2:$H$81,6,FALSE)="","",VLOOKUP($I$4,DATABASE!$A$2:$H$81,6,FALSE)),"")</f>
        <v>2023</v>
      </c>
      <c r="C6" s="28" t="str">
        <f>REPLACE(REPLACE(IFERROR(IF(VLOOKUP($I$4,DATABASE!$A$2:$H$81,7,FALSE)="","",VLOOKUP($I$4,DATABASE!$A$2:$H$81,7,FALSE)),""),100,100," - "),100,100,IFERROR(IF(VLOOKUP($I$4,DATABASE!$A$2:$H$81,8,FALSE)="","",VLOOKUP($I$4,DATABASE!$A$2:$H$81,8,FALSE)),""))</f>
        <v>RUANG TEFA OTKP - 000001 (000002)</v>
      </c>
      <c r="D6" s="16"/>
      <c r="E6" s="18">
        <f>IFERROR(IF(VLOOKUP($I$4+1,DATABASE!$A$2:$H$81,6,FALSE)="","",VLOOKUP($I$4+1,DATABASE!$A$2:$H$81,6,FALSE)),"")</f>
        <v>2023</v>
      </c>
      <c r="F6" s="28" t="str">
        <f>REPLACE(REPLACE(IFERROR(IF(VLOOKUP($I$4+1,DATABASE!$A$2:$H$81,7,FALSE)="","",VLOOKUP($I$4+1,DATABASE!$A$2:$H$81,7,FALSE)),""),100,100," - "),100,100,IFERROR(IF(VLOOKUP($I$4+1,DATABASE!$A$2:$H$81,8,FALSE)="","",VLOOKUP($I$4+1,DATABASE!$A$2:$H$81,8,FALSE)),""))</f>
        <v>RUANG PLPG - 000002 (000002)</v>
      </c>
      <c r="G6" s="16"/>
      <c r="H6" s="30"/>
      <c r="I6" s="55"/>
      <c r="J6" s="51"/>
      <c r="K6" s="56"/>
    </row>
    <row r="7" spans="2:11" ht="6" customHeight="1" x14ac:dyDescent="0.25">
      <c r="B7" s="11"/>
      <c r="C7" s="11"/>
      <c r="D7" s="16"/>
      <c r="E7" s="16"/>
      <c r="F7" s="16"/>
      <c r="G7" s="16"/>
      <c r="H7" s="11"/>
      <c r="I7" s="55"/>
      <c r="J7" s="51"/>
      <c r="K7" s="56"/>
    </row>
    <row r="8" spans="2:11" ht="20.25" customHeight="1" x14ac:dyDescent="0.2">
      <c r="B8" s="13"/>
      <c r="C8" s="7" t="str">
        <f>IFERROR(IF(VLOOKUP($I$4+2,DATABASE!$A$2:$G$81,2,FALSE)="","",VLOOKUP($I$4+2,DATABASE!$A$2:$G$81,2,FALSE)),"")</f>
        <v>MESIN POTONG RUMPUT</v>
      </c>
      <c r="D8" s="5"/>
      <c r="E8" s="13"/>
      <c r="F8" s="7" t="str">
        <f>IFERROR(IF(VLOOKUP($I$4+3,DATABASE!$A$2:$G$81,2,FALSE)="","",VLOOKUP($I$4+3,DATABASE!$A$2:$G$81,2,FALSE)),"")</f>
        <v>A.C. SPLIT</v>
      </c>
      <c r="G8" s="5"/>
      <c r="H8" s="11"/>
      <c r="I8" s="31" t="s">
        <v>2</v>
      </c>
      <c r="J8" s="31"/>
      <c r="K8" s="31" t="s">
        <v>1</v>
      </c>
    </row>
    <row r="9" spans="2:11" ht="20.25" customHeight="1" x14ac:dyDescent="0.25">
      <c r="B9" s="13"/>
      <c r="C9" s="8" t="str">
        <f>IFERROR(IF(VLOOKUP($I$4+2,DATABASE!$A$2:$G$81,3,FALSE)="","",VLOOKUP($I$4+2,DATABASE!$A$2:$G$81,3,FALSE)),"")</f>
        <v>RONHOOF CORDLESS</v>
      </c>
      <c r="D9" s="16"/>
      <c r="E9" s="13"/>
      <c r="F9" s="8" t="str">
        <f>IFERROR(IF(VLOOKUP($I$4+3,DATABASE!$A$2:$G$81,3,FALSE)="","",VLOOKUP($I$4+3,DATABASE!$A$2:$G$81,3,FALSE)),"")</f>
        <v>SHARP 2 PK - AH-A18ZCY</v>
      </c>
      <c r="G9" s="16"/>
      <c r="H9" s="11"/>
      <c r="I9" s="29"/>
      <c r="J9" s="29"/>
      <c r="K9" s="29"/>
    </row>
    <row r="10" spans="2:11" ht="20.25" customHeight="1" x14ac:dyDescent="0.2">
      <c r="B10" s="13"/>
      <c r="C10" s="10" t="str">
        <f>IFERROR(IF(VLOOKUP($I$4+2,DATABASE!$A$2:$G$81,4,FALSE)="","",VLOOKUP($I$4+2,DATABASE!$A$2:$G$81,4,FALSE)),"")</f>
        <v>BM BOS TRIWULAN III TAHUN 2023</v>
      </c>
      <c r="D10" s="16"/>
      <c r="E10" s="13"/>
      <c r="F10" s="10" t="str">
        <f>IFERROR(IF(VLOOKUP($I$4+3,DATABASE!$A$2:$G$81,4,FALSE)="","",VLOOKUP($I$4+3,DATABASE!$A$2:$G$81,4,FALSE)),"")</f>
        <v>BM BOS TRIWULAN IV TAHUN 2023</v>
      </c>
      <c r="G10" s="16"/>
      <c r="H10" s="11"/>
      <c r="I10" s="29"/>
      <c r="J10" s="11"/>
      <c r="K10" s="11"/>
    </row>
    <row r="11" spans="2:11" ht="20.25" customHeight="1" x14ac:dyDescent="0.25">
      <c r="B11" s="13"/>
      <c r="C11" s="20" t="str">
        <f>IFERROR(IF(VLOOKUP($I$4+2,DATABASE!$A$2:$G$81,5,FALSE)="","",VLOOKUP($I$4+2,DATABASE!$A$2:$G$81,5,FALSE)),"")</f>
        <v>SMK NEGERI 2 PEKALONGAN</v>
      </c>
      <c r="D11" s="16"/>
      <c r="E11" s="13"/>
      <c r="F11" s="20" t="str">
        <f>IFERROR(IF(VLOOKUP($I$4+3,DATABASE!$A$2:$G$81,5,FALSE)="","",VLOOKUP($I$4+3,DATABASE!$A$2:$G$81,5,FALSE)),"")</f>
        <v>SMK NEGERI 2 PEKALONGAN</v>
      </c>
      <c r="G11" s="16"/>
      <c r="H11" s="11"/>
      <c r="I11" s="29"/>
      <c r="J11" s="11"/>
      <c r="K11" s="11"/>
    </row>
    <row r="12" spans="2:11" ht="20.25" customHeight="1" x14ac:dyDescent="0.25">
      <c r="B12" s="18">
        <f>IFERROR(IF(VLOOKUP($I$4+2,DATABASE!$A$2:$H$81,6,FALSE)="","",VLOOKUP($I$4+2,DATABASE!$A$2:$H$81,6,FALSE)),"")</f>
        <v>2023</v>
      </c>
      <c r="C12" s="28" t="str">
        <f>REPLACE(REPLACE(IFERROR(IF(VLOOKUP($I$4+2,DATABASE!$A$2:$H$81,7,FALSE)="","",VLOOKUP($I$4+2,DATABASE!$A$2:$H$81,7,FALSE)),""),100,100," - "),100,100,IFERROR(IF(VLOOKUP($I$4+2,DATABASE!$A$2:$H$81,8,FALSE)="","",VLOOKUP($I$4+2,DATABASE!$A$2:$H$81,8,FALSE)),""))</f>
        <v>RUANG PENUNJANG - 000001 (000001)</v>
      </c>
      <c r="D12" s="16"/>
      <c r="E12" s="18">
        <f>IFERROR(IF(VLOOKUP($I$4+3,DATABASE!$A$2:$H$81,6,FALSE)="","",VLOOKUP($I$4+3,DATABASE!$A$2:$H$81,6,FALSE)),"")</f>
        <v>2023</v>
      </c>
      <c r="F12" s="28" t="str">
        <f>REPLACE(REPLACE(IFERROR(IF(VLOOKUP($I$4+3,DATABASE!$A$2:$H$81,7,FALSE)="","",VLOOKUP($I$4+3,DATABASE!$A$2:$H$81,7,FALSE)),""),100,100," - "),100,100,IFERROR(IF(VLOOKUP($I$4+3,DATABASE!$A$2:$H$81,8,FALSE)="","",VLOOKUP($I$4+3,DATABASE!$A$2:$H$81,8,FALSE)),""))</f>
        <v>RUANG GURU - 000001 (000001)</v>
      </c>
      <c r="G12" s="16"/>
      <c r="H12" s="11"/>
      <c r="I12" s="29"/>
      <c r="J12" s="11"/>
      <c r="K12" s="11"/>
    </row>
    <row r="13" spans="2:11" ht="8.25" customHeight="1" x14ac:dyDescent="0.25">
      <c r="B13" s="21"/>
      <c r="C13" s="22"/>
      <c r="D13" s="16"/>
      <c r="E13" s="16"/>
      <c r="F13" s="16"/>
      <c r="G13" s="16"/>
      <c r="H13" s="11"/>
      <c r="I13" s="23"/>
      <c r="J13" s="11"/>
      <c r="K13" s="30"/>
    </row>
    <row r="14" spans="2:11" ht="20.25" customHeight="1" x14ac:dyDescent="0.25"/>
    <row r="15" spans="2:11" ht="20.25" customHeight="1" x14ac:dyDescent="0.25"/>
    <row r="16" spans="2:11" ht="20.25" customHeight="1" x14ac:dyDescent="0.25"/>
    <row r="17" ht="20.25" customHeight="1" x14ac:dyDescent="0.25"/>
    <row r="18" ht="20.25" customHeight="1" x14ac:dyDescent="0.25"/>
    <row r="19" ht="20.25" customHeight="1" x14ac:dyDescent="0.25"/>
    <row r="20" ht="20.25" customHeight="1" x14ac:dyDescent="0.25"/>
    <row r="21" ht="20.25" customHeight="1" x14ac:dyDescent="0.25"/>
    <row r="22" ht="20.25" customHeight="1" x14ac:dyDescent="0.25"/>
    <row r="23" ht="20.25" customHeight="1" x14ac:dyDescent="0.25"/>
    <row r="24" ht="20.25" customHeight="1" x14ac:dyDescent="0.25"/>
    <row r="25" ht="20.25" customHeight="1" x14ac:dyDescent="0.25"/>
    <row r="26" ht="20.25" customHeight="1" x14ac:dyDescent="0.25"/>
    <row r="27" ht="20.25" customHeight="1" x14ac:dyDescent="0.25"/>
    <row r="28" ht="20.25" customHeight="1" x14ac:dyDescent="0.25"/>
    <row r="29" ht="20.25" customHeight="1" x14ac:dyDescent="0.25"/>
    <row r="30" ht="20.25" customHeight="1" x14ac:dyDescent="0.25"/>
    <row r="31" ht="20.25" customHeight="1" x14ac:dyDescent="0.25"/>
    <row r="32" ht="20.25" customHeight="1" x14ac:dyDescent="0.25"/>
    <row r="33" ht="20.25" customHeight="1" x14ac:dyDescent="0.25"/>
    <row r="34" ht="20.25" customHeight="1" x14ac:dyDescent="0.25"/>
    <row r="35" ht="20.25" customHeight="1" x14ac:dyDescent="0.25"/>
    <row r="36" ht="20.25" customHeight="1" x14ac:dyDescent="0.25"/>
    <row r="37" ht="20.25" customHeight="1" x14ac:dyDescent="0.25"/>
    <row r="38" ht="20.25" customHeight="1" x14ac:dyDescent="0.25"/>
    <row r="39" ht="20.25" customHeight="1" x14ac:dyDescent="0.25"/>
    <row r="40" ht="20.25" customHeight="1" x14ac:dyDescent="0.25"/>
    <row r="41" ht="20.25" customHeight="1" x14ac:dyDescent="0.25"/>
    <row r="42" ht="20.25" customHeight="1" x14ac:dyDescent="0.25"/>
    <row r="43" ht="20.25" customHeight="1" x14ac:dyDescent="0.25"/>
    <row r="44" ht="20.25" customHeight="1" x14ac:dyDescent="0.25"/>
    <row r="45" ht="20.25" customHeight="1" x14ac:dyDescent="0.25"/>
    <row r="46" ht="20.25" customHeight="1" x14ac:dyDescent="0.25"/>
    <row r="47" ht="20.25" customHeight="1" x14ac:dyDescent="0.25"/>
    <row r="48" ht="20.25" customHeight="1" x14ac:dyDescent="0.25"/>
    <row r="49" ht="20.25" customHeight="1" x14ac:dyDescent="0.25"/>
    <row r="50" ht="20.25" customHeight="1" x14ac:dyDescent="0.25"/>
    <row r="51" ht="20.25" customHeight="1" x14ac:dyDescent="0.25"/>
    <row r="52" ht="20.25" customHeight="1" x14ac:dyDescent="0.25"/>
    <row r="53" ht="20.25" customHeight="1" x14ac:dyDescent="0.25"/>
    <row r="54" ht="20.25" customHeight="1" x14ac:dyDescent="0.25"/>
    <row r="55" ht="20.25" customHeight="1" x14ac:dyDescent="0.25"/>
    <row r="56" ht="20.25" customHeight="1" x14ac:dyDescent="0.25"/>
    <row r="57" ht="20.25" customHeight="1" x14ac:dyDescent="0.25"/>
    <row r="58" ht="20.25" customHeight="1" x14ac:dyDescent="0.25"/>
  </sheetData>
  <sheetProtection formatCells="0" formatColumns="0" formatRows="0"/>
  <mergeCells count="5">
    <mergeCell ref="I2:K2"/>
    <mergeCell ref="I3:K3"/>
    <mergeCell ref="I4:I7"/>
    <mergeCell ref="J4:J7"/>
    <mergeCell ref="K4:K7"/>
  </mergeCells>
  <printOptions horizontalCentered="1"/>
  <pageMargins left="0.19685039370078741" right="0.19685039370078741" top="0.19685039370078741" bottom="0.19685039370078741" header="0" footer="0"/>
  <pageSetup paperSize="1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Spinner 1">
              <controlPr defaultSize="0" autoPict="0">
                <anchor moveWithCells="1" sizeWithCells="1">
                  <from>
                    <xdr:col>9</xdr:col>
                    <xdr:colOff>57150</xdr:colOff>
                    <xdr:row>3</xdr:row>
                    <xdr:rowOff>19050</xdr:rowOff>
                  </from>
                  <to>
                    <xdr:col>9</xdr:col>
                    <xdr:colOff>571500</xdr:colOff>
                    <xdr:row>6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58"/>
  <sheetViews>
    <sheetView showGridLines="0" zoomScaleNormal="100" zoomScaleSheetLayoutView="100" workbookViewId="0">
      <selection activeCell="I4" sqref="I4:I7"/>
    </sheetView>
  </sheetViews>
  <sheetFormatPr defaultRowHeight="14.25" x14ac:dyDescent="0.25"/>
  <cols>
    <col min="1" max="1" width="1.7109375" style="12" customWidth="1"/>
    <col min="2" max="2" width="11.7109375" style="12" customWidth="1"/>
    <col min="3" max="3" width="36.85546875" style="12" customWidth="1"/>
    <col min="4" max="4" width="1.5703125" style="12" customWidth="1"/>
    <col min="5" max="5" width="11.7109375" style="12" customWidth="1"/>
    <col min="6" max="6" width="36.85546875" style="12" customWidth="1"/>
    <col min="7" max="7" width="1.85546875" style="12" customWidth="1"/>
    <col min="8" max="8" width="9.140625" style="12"/>
    <col min="9" max="9" width="15" style="12" customWidth="1"/>
    <col min="10" max="10" width="9.5703125" style="12" customWidth="1"/>
    <col min="11" max="11" width="13.85546875" style="12" customWidth="1"/>
    <col min="12" max="16384" width="9.140625" style="12"/>
  </cols>
  <sheetData>
    <row r="1" spans="2:11" x14ac:dyDescent="0.25">
      <c r="B1" s="11"/>
      <c r="C1" s="11"/>
      <c r="D1" s="11"/>
      <c r="E1" s="11"/>
      <c r="F1" s="11"/>
      <c r="G1" s="11"/>
      <c r="H1" s="11"/>
    </row>
    <row r="2" spans="2:11" s="15" customFormat="1" ht="20.25" customHeight="1" x14ac:dyDescent="0.2">
      <c r="B2" s="13"/>
      <c r="C2" s="7" t="str">
        <f>IFERROR(IF(VLOOKUP($I$4,DATABASE!$A$2:$H$81,2,FALSE)="","",VLOOKUP($I$4,DATABASE!$A$2:$H$81,2,FALSE)),"")</f>
        <v>PC. UNIT</v>
      </c>
      <c r="D2" s="5"/>
      <c r="E2" s="6"/>
      <c r="F2" s="7" t="str">
        <f>IFERROR(IF(VLOOKUP($I$4+1,DATABASE!$A$2:$G$81,2,FALSE)="","",VLOOKUP($I$4+1,DATABASE!$A$2:$G$81,2,FALSE)),"")</f>
        <v>PC. UNIT</v>
      </c>
      <c r="G2" s="5"/>
      <c r="H2" s="42"/>
      <c r="I2" s="50"/>
      <c r="J2" s="50"/>
      <c r="K2" s="50"/>
    </row>
    <row r="3" spans="2:11" s="15" customFormat="1" ht="20.25" customHeight="1" x14ac:dyDescent="0.25">
      <c r="B3" s="13"/>
      <c r="C3" s="8" t="str">
        <f>IFERROR(IF(VLOOKUP($I$4,DATABASE!$A$2:$H$81,3,FALSE)="","",VLOOKUP($I$4,DATABASE!$A$2:$H$81,3,FALSE)),"")</f>
        <v>INTEL CORE I5-11400F</v>
      </c>
      <c r="D3" s="16"/>
      <c r="E3" s="17"/>
      <c r="F3" s="6" t="str">
        <f>IFERROR(IF(VLOOKUP($I$4+1,DATABASE!$A$2:$G$81,3,FALSE)="","",VLOOKUP($I$4+1,DATABASE!$A$2:$G$81,3,FALSE)),"")</f>
        <v>INTEL CORE I5-11400F</v>
      </c>
      <c r="G3" s="16"/>
      <c r="H3" s="42"/>
      <c r="I3" s="53" t="s">
        <v>3</v>
      </c>
      <c r="J3" s="53"/>
      <c r="K3" s="53"/>
    </row>
    <row r="4" spans="2:11" s="15" customFormat="1" ht="20.25" customHeight="1" x14ac:dyDescent="0.2">
      <c r="B4" s="13"/>
      <c r="C4" s="10" t="str">
        <f>IFERROR(IF(VLOOKUP($I$4,DATABASE!$A$2:$H$81,4,FALSE)="","",VLOOKUP($I$4,DATABASE!$A$2:$H$81,4,FALSE)),"")</f>
        <v>BM BOS TRIWULAN III TAHUN 2023</v>
      </c>
      <c r="D4" s="16"/>
      <c r="E4" s="17"/>
      <c r="F4" s="10" t="str">
        <f>IFERROR(IF(VLOOKUP($I$4+1,DATABASE!$A$2:$G$81,4,FALSE)="","",VLOOKUP($I$4+1,DATABASE!$A$2:$G$81,4,FALSE)),"")</f>
        <v>BM BOS TRIWULAN III TAHUN 2023</v>
      </c>
      <c r="G4" s="16"/>
      <c r="H4" s="42"/>
      <c r="I4" s="55">
        <v>34</v>
      </c>
      <c r="J4" s="51"/>
      <c r="K4" s="56"/>
    </row>
    <row r="5" spans="2:11" s="15" customFormat="1" ht="20.25" customHeight="1" x14ac:dyDescent="0.25">
      <c r="B5" s="13"/>
      <c r="C5" s="20" t="str">
        <f>IFERROR(IF(VLOOKUP($I$4,DATABASE!$A$2:$H$81,5,FALSE)="","",VLOOKUP($I$4,DATABASE!$A$2:$H$81,5,FALSE)),"")</f>
        <v>SMK NEGERI 2 PEKALONGAN</v>
      </c>
      <c r="D5" s="16"/>
      <c r="E5" s="17"/>
      <c r="F5" s="26" t="str">
        <f>IFERROR(IF(VLOOKUP($I$4+1,DATABASE!$A$2:$G$81,5,FALSE)="","",VLOOKUP($I$4+1,DATABASE!$A$2:$G$81,5,FALSE)),"")</f>
        <v>SMK NEGERI 2 PEKALONGAN</v>
      </c>
      <c r="G5" s="16"/>
      <c r="H5" s="42"/>
      <c r="I5" s="55"/>
      <c r="J5" s="51"/>
      <c r="K5" s="56"/>
    </row>
    <row r="6" spans="2:11" s="15" customFormat="1" ht="20.25" customHeight="1" x14ac:dyDescent="0.25">
      <c r="B6" s="18">
        <f>IFERROR(IF(VLOOKUP($I$4,DATABASE!$A$2:$H$81,6,FALSE)="","",VLOOKUP($I$4,DATABASE!$A$2:$H$81,6,FALSE)),"")</f>
        <v>2023</v>
      </c>
      <c r="C6" s="28" t="str">
        <f>REPLACE(REPLACE(IFERROR(IF(VLOOKUP($I$4,DATABASE!$A$2:$H$81,7,FALSE)="","",VLOOKUP($I$4,DATABASE!$A$2:$H$81,7,FALSE)),""),100,100," - "),100,100,IFERROR(IF(VLOOKUP($I$4,DATABASE!$A$2:$H$81,8,FALSE)="","",VLOOKUP($I$4,DATABASE!$A$2:$H$81,8,FALSE)),""))</f>
        <v>RUANG LAB. PSPT - 000002 (000010)</v>
      </c>
      <c r="D6" s="16"/>
      <c r="E6" s="18">
        <f>IFERROR(IF(VLOOKUP($I$4+1,DATABASE!$A$2:$H$81,6,FALSE)="","",VLOOKUP($I$4+1,DATABASE!$A$2:$H$81,6,FALSE)),"")</f>
        <v>2023</v>
      </c>
      <c r="F6" s="28" t="str">
        <f>REPLACE(REPLACE(IFERROR(IF(VLOOKUP($I$4+1,DATABASE!$A$2:$H$81,7,FALSE)="","",VLOOKUP($I$4+1,DATABASE!$A$2:$H$81,7,FALSE)),""),100,100," - "),100,100,IFERROR(IF(VLOOKUP($I$4+1,DATABASE!$A$2:$H$81,8,FALSE)="","",VLOOKUP($I$4+1,DATABASE!$A$2:$H$81,8,FALSE)),""))</f>
        <v>RUANG LAB. PSPT - 000003 (000010)</v>
      </c>
      <c r="G6" s="16"/>
      <c r="H6" s="42"/>
      <c r="I6" s="55"/>
      <c r="J6" s="51"/>
      <c r="K6" s="56"/>
    </row>
    <row r="7" spans="2:11" ht="8.25" customHeight="1" x14ac:dyDescent="0.25">
      <c r="B7" s="11"/>
      <c r="C7" s="11"/>
      <c r="D7" s="16"/>
      <c r="E7" s="16"/>
      <c r="F7" s="16"/>
      <c r="G7" s="16"/>
      <c r="H7" s="11"/>
      <c r="I7" s="55"/>
      <c r="J7" s="51"/>
      <c r="K7" s="56"/>
    </row>
    <row r="8" spans="2:11" ht="20.25" customHeight="1" x14ac:dyDescent="0.2">
      <c r="B8" s="32"/>
      <c r="C8" s="33"/>
      <c r="D8" s="34"/>
      <c r="E8" s="32"/>
      <c r="F8" s="33"/>
      <c r="G8" s="5"/>
      <c r="H8" s="11"/>
      <c r="I8" s="43" t="s">
        <v>2</v>
      </c>
      <c r="J8" s="43"/>
      <c r="K8" s="43" t="s">
        <v>1</v>
      </c>
    </row>
    <row r="9" spans="2:11" ht="20.25" customHeight="1" x14ac:dyDescent="0.25">
      <c r="B9" s="32"/>
      <c r="C9" s="35"/>
      <c r="D9" s="36"/>
      <c r="E9" s="32"/>
      <c r="F9" s="35"/>
      <c r="G9" s="16"/>
      <c r="H9" s="11"/>
      <c r="I9" s="29"/>
      <c r="J9" s="29"/>
      <c r="K9" s="29"/>
    </row>
    <row r="10" spans="2:11" ht="20.25" customHeight="1" x14ac:dyDescent="0.2">
      <c r="B10" s="32"/>
      <c r="C10" s="37"/>
      <c r="D10" s="36"/>
      <c r="E10" s="32"/>
      <c r="F10" s="37"/>
      <c r="G10" s="16"/>
      <c r="H10" s="11"/>
      <c r="I10" s="29"/>
      <c r="J10" s="11"/>
      <c r="K10" s="11"/>
    </row>
    <row r="11" spans="2:11" ht="20.25" customHeight="1" x14ac:dyDescent="0.25">
      <c r="B11" s="32"/>
      <c r="C11" s="38"/>
      <c r="D11" s="36"/>
      <c r="E11" s="32"/>
      <c r="F11" s="38"/>
      <c r="G11" s="16"/>
      <c r="H11" s="11"/>
      <c r="I11" s="29"/>
      <c r="J11" s="11"/>
      <c r="K11" s="11"/>
    </row>
    <row r="12" spans="2:11" ht="20.25" customHeight="1" x14ac:dyDescent="0.25">
      <c r="B12" s="21"/>
      <c r="C12" s="39"/>
      <c r="D12" s="36"/>
      <c r="E12" s="21"/>
      <c r="F12" s="39"/>
      <c r="G12" s="16"/>
      <c r="H12" s="11"/>
      <c r="I12" s="29"/>
      <c r="J12" s="11"/>
      <c r="K12" s="11"/>
    </row>
    <row r="13" spans="2:11" ht="8.25" customHeight="1" x14ac:dyDescent="0.25">
      <c r="B13" s="21"/>
      <c r="C13" s="22"/>
      <c r="D13" s="16"/>
      <c r="E13" s="16"/>
      <c r="F13" s="16"/>
      <c r="G13" s="16"/>
      <c r="H13" s="11"/>
      <c r="I13" s="23"/>
      <c r="J13" s="11"/>
      <c r="K13" s="42"/>
    </row>
    <row r="14" spans="2:11" ht="20.25" customHeight="1" x14ac:dyDescent="0.25"/>
    <row r="15" spans="2:11" ht="20.25" customHeight="1" x14ac:dyDescent="0.25"/>
    <row r="16" spans="2:11" ht="20.25" customHeight="1" x14ac:dyDescent="0.25"/>
    <row r="17" ht="20.25" customHeight="1" x14ac:dyDescent="0.25"/>
    <row r="18" ht="20.25" customHeight="1" x14ac:dyDescent="0.25"/>
    <row r="19" ht="20.25" customHeight="1" x14ac:dyDescent="0.25"/>
    <row r="20" ht="20.25" customHeight="1" x14ac:dyDescent="0.25"/>
    <row r="21" ht="20.25" customHeight="1" x14ac:dyDescent="0.25"/>
    <row r="22" ht="20.25" customHeight="1" x14ac:dyDescent="0.25"/>
    <row r="23" ht="20.25" customHeight="1" x14ac:dyDescent="0.25"/>
    <row r="24" ht="20.25" customHeight="1" x14ac:dyDescent="0.25"/>
    <row r="25" ht="20.25" customHeight="1" x14ac:dyDescent="0.25"/>
    <row r="26" ht="20.25" customHeight="1" x14ac:dyDescent="0.25"/>
    <row r="27" ht="20.25" customHeight="1" x14ac:dyDescent="0.25"/>
    <row r="28" ht="20.25" customHeight="1" x14ac:dyDescent="0.25"/>
    <row r="29" ht="20.25" customHeight="1" x14ac:dyDescent="0.25"/>
    <row r="30" ht="20.25" customHeight="1" x14ac:dyDescent="0.25"/>
    <row r="31" ht="20.25" customHeight="1" x14ac:dyDescent="0.25"/>
    <row r="32" ht="20.25" customHeight="1" x14ac:dyDescent="0.25"/>
    <row r="33" ht="20.25" customHeight="1" x14ac:dyDescent="0.25"/>
    <row r="34" ht="20.25" customHeight="1" x14ac:dyDescent="0.25"/>
    <row r="35" ht="20.25" customHeight="1" x14ac:dyDescent="0.25"/>
    <row r="36" ht="20.25" customHeight="1" x14ac:dyDescent="0.25"/>
    <row r="37" ht="20.25" customHeight="1" x14ac:dyDescent="0.25"/>
    <row r="38" ht="20.25" customHeight="1" x14ac:dyDescent="0.25"/>
    <row r="39" ht="20.25" customHeight="1" x14ac:dyDescent="0.25"/>
    <row r="40" ht="20.25" customHeight="1" x14ac:dyDescent="0.25"/>
    <row r="41" ht="20.25" customHeight="1" x14ac:dyDescent="0.25"/>
    <row r="42" ht="20.25" customHeight="1" x14ac:dyDescent="0.25"/>
    <row r="43" ht="20.25" customHeight="1" x14ac:dyDescent="0.25"/>
    <row r="44" ht="20.25" customHeight="1" x14ac:dyDescent="0.25"/>
    <row r="45" ht="20.25" customHeight="1" x14ac:dyDescent="0.25"/>
    <row r="46" ht="20.25" customHeight="1" x14ac:dyDescent="0.25"/>
    <row r="47" ht="20.25" customHeight="1" x14ac:dyDescent="0.25"/>
    <row r="48" ht="20.25" customHeight="1" x14ac:dyDescent="0.25"/>
    <row r="49" ht="20.25" customHeight="1" x14ac:dyDescent="0.25"/>
    <row r="50" ht="20.25" customHeight="1" x14ac:dyDescent="0.25"/>
    <row r="51" ht="20.25" customHeight="1" x14ac:dyDescent="0.25"/>
    <row r="52" ht="20.25" customHeight="1" x14ac:dyDescent="0.25"/>
    <row r="53" ht="20.25" customHeight="1" x14ac:dyDescent="0.25"/>
    <row r="54" ht="20.25" customHeight="1" x14ac:dyDescent="0.25"/>
    <row r="55" ht="20.25" customHeight="1" x14ac:dyDescent="0.25"/>
    <row r="56" ht="20.25" customHeight="1" x14ac:dyDescent="0.25"/>
    <row r="57" ht="20.25" customHeight="1" x14ac:dyDescent="0.25"/>
    <row r="58" ht="20.25" customHeight="1" x14ac:dyDescent="0.25"/>
  </sheetData>
  <sheetProtection formatCells="0" formatColumns="0" formatRows="0"/>
  <mergeCells count="5">
    <mergeCell ref="I2:K2"/>
    <mergeCell ref="I3:K3"/>
    <mergeCell ref="I4:I7"/>
    <mergeCell ref="J4:J7"/>
    <mergeCell ref="K4:K7"/>
  </mergeCells>
  <printOptions horizontalCentered="1"/>
  <pageMargins left="0.19685039370078741" right="0.19685039370078741" top="0.19685039370078741" bottom="0.19685039370078741" header="0" footer="0"/>
  <pageSetup paperSize="1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Spinner 1">
              <controlPr defaultSize="0" autoPict="0">
                <anchor moveWithCells="1" sizeWithCells="1">
                  <from>
                    <xdr:col>9</xdr:col>
                    <xdr:colOff>57150</xdr:colOff>
                    <xdr:row>3</xdr:row>
                    <xdr:rowOff>19050</xdr:rowOff>
                  </from>
                  <to>
                    <xdr:col>9</xdr:col>
                    <xdr:colOff>571500</xdr:colOff>
                    <xdr:row>6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58"/>
  <sheetViews>
    <sheetView showGridLines="0" zoomScaleNormal="100" zoomScaleSheetLayoutView="100" workbookViewId="0">
      <selection activeCell="C11" sqref="C11"/>
    </sheetView>
  </sheetViews>
  <sheetFormatPr defaultRowHeight="14.25" x14ac:dyDescent="0.25"/>
  <cols>
    <col min="1" max="1" width="1.7109375" style="12" customWidth="1"/>
    <col min="2" max="2" width="10.42578125" style="12" customWidth="1"/>
    <col min="3" max="3" width="38.5703125" style="12" customWidth="1"/>
    <col min="4" max="4" width="1.5703125" style="12" customWidth="1"/>
    <col min="5" max="5" width="11.7109375" style="12" customWidth="1"/>
    <col min="6" max="6" width="36.85546875" style="12" customWidth="1"/>
    <col min="7" max="7" width="1.85546875" style="12" customWidth="1"/>
    <col min="8" max="8" width="9.140625" style="12"/>
    <col min="9" max="9" width="15" style="12" customWidth="1"/>
    <col min="10" max="10" width="9.5703125" style="12" customWidth="1"/>
    <col min="11" max="11" width="13.85546875" style="12" customWidth="1"/>
    <col min="12" max="16384" width="9.140625" style="12"/>
  </cols>
  <sheetData>
    <row r="1" spans="2:11" x14ac:dyDescent="0.25">
      <c r="B1" s="11"/>
      <c r="C1" s="11"/>
      <c r="D1" s="11"/>
      <c r="E1" s="48"/>
      <c r="F1" s="48"/>
      <c r="G1" s="11"/>
      <c r="H1" s="11"/>
    </row>
    <row r="2" spans="2:11" s="15" customFormat="1" ht="20.25" customHeight="1" x14ac:dyDescent="0.2">
      <c r="B2" s="13"/>
      <c r="C2" s="7" t="str">
        <f>IFERROR(IF(VLOOKUP($I$4,DATABASE!$A$2:$H$81,2,FALSE)="","",VLOOKUP($I$4,DATABASE!$A$2:$H$81,2,FALSE)),"")</f>
        <v>PC. UNIT</v>
      </c>
      <c r="D2" s="5"/>
      <c r="E2" s="34"/>
      <c r="F2" s="33"/>
      <c r="G2" s="5"/>
      <c r="H2" s="44"/>
      <c r="I2" s="50"/>
      <c r="J2" s="50"/>
      <c r="K2" s="50"/>
    </row>
    <row r="3" spans="2:11" s="15" customFormat="1" ht="20.25" customHeight="1" x14ac:dyDescent="0.25">
      <c r="B3" s="13"/>
      <c r="C3" s="8" t="str">
        <f>IFERROR(IF(VLOOKUP($I$4,DATABASE!$A$2:$H$81,3,FALSE)="","",VLOOKUP($I$4,DATABASE!$A$2:$H$81,3,FALSE)),"")</f>
        <v>INTEL CORE I7</v>
      </c>
      <c r="D3" s="16"/>
      <c r="E3" s="36"/>
      <c r="F3" s="34"/>
      <c r="G3" s="16"/>
      <c r="H3" s="44"/>
      <c r="I3" s="53" t="s">
        <v>3</v>
      </c>
      <c r="J3" s="53"/>
      <c r="K3" s="53"/>
    </row>
    <row r="4" spans="2:11" s="15" customFormat="1" ht="20.25" customHeight="1" x14ac:dyDescent="0.2">
      <c r="B4" s="13"/>
      <c r="C4" s="10" t="str">
        <f>IFERROR(IF(VLOOKUP($I$4,DATABASE!$A$2:$H$81,4,FALSE)="","",VLOOKUP($I$4,DATABASE!$A$2:$H$81,4,FALSE)),"")</f>
        <v>BM BOS TRIWULAN IV TAHUN 2023</v>
      </c>
      <c r="D4" s="16"/>
      <c r="E4" s="36"/>
      <c r="F4" s="37"/>
      <c r="G4" s="16"/>
      <c r="H4" s="44"/>
      <c r="I4" s="55">
        <v>47</v>
      </c>
      <c r="J4" s="51"/>
      <c r="K4" s="56">
        <v>1</v>
      </c>
    </row>
    <row r="5" spans="2:11" s="15" customFormat="1" ht="20.25" customHeight="1" x14ac:dyDescent="0.25">
      <c r="B5" s="13"/>
      <c r="C5" s="20" t="str">
        <f>IFERROR(IF(VLOOKUP($I$4,DATABASE!$A$2:$H$81,5,FALSE)="","",VLOOKUP($I$4,DATABASE!$A$2:$H$81,5,FALSE)),"")</f>
        <v>SMK NEGERI 2 PEKALONGAN</v>
      </c>
      <c r="D5" s="16"/>
      <c r="E5" s="36"/>
      <c r="F5" s="49"/>
      <c r="G5" s="16"/>
      <c r="H5" s="44"/>
      <c r="I5" s="55"/>
      <c r="J5" s="51"/>
      <c r="K5" s="56"/>
    </row>
    <row r="6" spans="2:11" s="15" customFormat="1" ht="20.25" customHeight="1" x14ac:dyDescent="0.25">
      <c r="B6" s="18">
        <f>IFERROR(IF(VLOOKUP($I$4,DATABASE!$A$2:$H$81,6,FALSE)="","",VLOOKUP($I$4,DATABASE!$A$2:$H$81,6,FALSE)),"")</f>
        <v>2023</v>
      </c>
      <c r="C6" s="28" t="str">
        <f>REPLACE(REPLACE(IFERROR(IF(VLOOKUP($I$4,DATABASE!$A$2:$H$81,7,FALSE)="","",VLOOKUP($I$4,DATABASE!$A$2:$H$81,7,FALSE)),""),100,100," - "),100,100,IFERROR(IF(VLOOKUP($I$4,DATABASE!$A$2:$H$81,8,FALSE)="","",VLOOKUP($I$4,DATABASE!$A$2:$H$81,8,FALSE)),""))</f>
        <v>RUANG SERVER - 000001 (000001)</v>
      </c>
      <c r="D6" s="16"/>
      <c r="E6" s="21"/>
      <c r="F6" s="39"/>
      <c r="G6" s="16"/>
      <c r="H6" s="44"/>
      <c r="I6" s="55"/>
      <c r="J6" s="51"/>
      <c r="K6" s="56"/>
    </row>
    <row r="7" spans="2:11" ht="8.25" customHeight="1" x14ac:dyDescent="0.25">
      <c r="B7" s="11"/>
      <c r="C7" s="11"/>
      <c r="D7" s="16"/>
      <c r="E7" s="36"/>
      <c r="F7" s="36"/>
      <c r="G7" s="16"/>
      <c r="H7" s="11"/>
      <c r="I7" s="55"/>
      <c r="J7" s="51"/>
      <c r="K7" s="56"/>
    </row>
    <row r="8" spans="2:11" ht="20.25" customHeight="1" x14ac:dyDescent="0.2">
      <c r="B8" s="32"/>
      <c r="C8" s="33"/>
      <c r="D8" s="34"/>
      <c r="E8" s="32"/>
      <c r="F8" s="33"/>
      <c r="G8" s="5"/>
      <c r="H8" s="11"/>
      <c r="I8" s="45" t="s">
        <v>2</v>
      </c>
      <c r="J8" s="45"/>
      <c r="K8" s="45" t="s">
        <v>1</v>
      </c>
    </row>
    <row r="9" spans="2:11" ht="20.25" customHeight="1" x14ac:dyDescent="0.25">
      <c r="B9" s="32"/>
      <c r="C9" s="35"/>
      <c r="D9" s="36"/>
      <c r="E9" s="32"/>
      <c r="F9" s="35"/>
      <c r="G9" s="16"/>
      <c r="H9" s="11"/>
      <c r="I9" s="29"/>
      <c r="J9" s="29"/>
      <c r="K9" s="29"/>
    </row>
    <row r="10" spans="2:11" ht="20.25" customHeight="1" x14ac:dyDescent="0.2">
      <c r="B10" s="32"/>
      <c r="C10" s="37"/>
      <c r="D10" s="36"/>
      <c r="E10" s="32"/>
      <c r="F10" s="37"/>
      <c r="G10" s="16"/>
      <c r="H10" s="11"/>
      <c r="I10" s="29"/>
      <c r="J10" s="11"/>
      <c r="K10" s="11"/>
    </row>
    <row r="11" spans="2:11" ht="20.25" customHeight="1" x14ac:dyDescent="0.25">
      <c r="B11" s="32"/>
      <c r="C11" s="38"/>
      <c r="D11" s="36"/>
      <c r="E11" s="32"/>
      <c r="F11" s="38"/>
      <c r="G11" s="16"/>
      <c r="H11" s="11"/>
      <c r="I11" s="29"/>
      <c r="J11" s="11"/>
      <c r="K11" s="11"/>
    </row>
    <row r="12" spans="2:11" ht="20.25" customHeight="1" x14ac:dyDescent="0.25">
      <c r="B12" s="21"/>
      <c r="C12" s="39"/>
      <c r="D12" s="36"/>
      <c r="E12" s="21"/>
      <c r="F12" s="39"/>
      <c r="G12" s="16"/>
      <c r="H12" s="11"/>
      <c r="I12" s="29"/>
      <c r="J12" s="11"/>
      <c r="K12" s="11"/>
    </row>
    <row r="13" spans="2:11" ht="8.25" customHeight="1" x14ac:dyDescent="0.25">
      <c r="B13" s="21"/>
      <c r="C13" s="22"/>
      <c r="D13" s="16"/>
      <c r="E13" s="16"/>
      <c r="F13" s="16"/>
      <c r="G13" s="16"/>
      <c r="H13" s="11"/>
      <c r="I13" s="23"/>
      <c r="J13" s="11"/>
      <c r="K13" s="44"/>
    </row>
    <row r="14" spans="2:11" ht="20.25" customHeight="1" x14ac:dyDescent="0.25"/>
    <row r="15" spans="2:11" ht="20.25" customHeight="1" x14ac:dyDescent="0.25"/>
    <row r="16" spans="2:11" ht="20.25" customHeight="1" x14ac:dyDescent="0.25"/>
    <row r="17" ht="20.25" customHeight="1" x14ac:dyDescent="0.25"/>
    <row r="18" ht="20.25" customHeight="1" x14ac:dyDescent="0.25"/>
    <row r="19" ht="20.25" customHeight="1" x14ac:dyDescent="0.25"/>
    <row r="20" ht="20.25" customHeight="1" x14ac:dyDescent="0.25"/>
    <row r="21" ht="20.25" customHeight="1" x14ac:dyDescent="0.25"/>
    <row r="22" ht="20.25" customHeight="1" x14ac:dyDescent="0.25"/>
    <row r="23" ht="20.25" customHeight="1" x14ac:dyDescent="0.25"/>
    <row r="24" ht="20.25" customHeight="1" x14ac:dyDescent="0.25"/>
    <row r="25" ht="20.25" customHeight="1" x14ac:dyDescent="0.25"/>
    <row r="26" ht="20.25" customHeight="1" x14ac:dyDescent="0.25"/>
    <row r="27" ht="20.25" customHeight="1" x14ac:dyDescent="0.25"/>
    <row r="28" ht="20.25" customHeight="1" x14ac:dyDescent="0.25"/>
    <row r="29" ht="20.25" customHeight="1" x14ac:dyDescent="0.25"/>
    <row r="30" ht="20.25" customHeight="1" x14ac:dyDescent="0.25"/>
    <row r="31" ht="20.25" customHeight="1" x14ac:dyDescent="0.25"/>
    <row r="32" ht="20.25" customHeight="1" x14ac:dyDescent="0.25"/>
    <row r="33" ht="20.25" customHeight="1" x14ac:dyDescent="0.25"/>
    <row r="34" ht="20.25" customHeight="1" x14ac:dyDescent="0.25"/>
    <row r="35" ht="20.25" customHeight="1" x14ac:dyDescent="0.25"/>
    <row r="36" ht="20.25" customHeight="1" x14ac:dyDescent="0.25"/>
    <row r="37" ht="20.25" customHeight="1" x14ac:dyDescent="0.25"/>
    <row r="38" ht="20.25" customHeight="1" x14ac:dyDescent="0.25"/>
    <row r="39" ht="20.25" customHeight="1" x14ac:dyDescent="0.25"/>
    <row r="40" ht="20.25" customHeight="1" x14ac:dyDescent="0.25"/>
    <row r="41" ht="20.25" customHeight="1" x14ac:dyDescent="0.25"/>
    <row r="42" ht="20.25" customHeight="1" x14ac:dyDescent="0.25"/>
    <row r="43" ht="20.25" customHeight="1" x14ac:dyDescent="0.25"/>
    <row r="44" ht="20.25" customHeight="1" x14ac:dyDescent="0.25"/>
    <row r="45" ht="20.25" customHeight="1" x14ac:dyDescent="0.25"/>
    <row r="46" ht="20.25" customHeight="1" x14ac:dyDescent="0.25"/>
    <row r="47" ht="20.25" customHeight="1" x14ac:dyDescent="0.25"/>
    <row r="48" ht="20.25" customHeight="1" x14ac:dyDescent="0.25"/>
    <row r="49" ht="20.25" customHeight="1" x14ac:dyDescent="0.25"/>
    <row r="50" ht="20.25" customHeight="1" x14ac:dyDescent="0.25"/>
    <row r="51" ht="20.25" customHeight="1" x14ac:dyDescent="0.25"/>
    <row r="52" ht="20.25" customHeight="1" x14ac:dyDescent="0.25"/>
    <row r="53" ht="20.25" customHeight="1" x14ac:dyDescent="0.25"/>
    <row r="54" ht="20.25" customHeight="1" x14ac:dyDescent="0.25"/>
    <row r="55" ht="20.25" customHeight="1" x14ac:dyDescent="0.25"/>
    <row r="56" ht="20.25" customHeight="1" x14ac:dyDescent="0.25"/>
    <row r="57" ht="20.25" customHeight="1" x14ac:dyDescent="0.25"/>
    <row r="58" ht="20.25" customHeight="1" x14ac:dyDescent="0.25"/>
  </sheetData>
  <sheetProtection formatCells="0" formatColumns="0" formatRows="0"/>
  <mergeCells count="5">
    <mergeCell ref="I2:K2"/>
    <mergeCell ref="I3:K3"/>
    <mergeCell ref="I4:I7"/>
    <mergeCell ref="J4:J7"/>
    <mergeCell ref="K4:K7"/>
  </mergeCells>
  <printOptions horizontalCentered="1"/>
  <pageMargins left="0.19685039370078741" right="0.19685039370078741" top="0.19685039370078741" bottom="0.19685039370078741" header="0" footer="0"/>
  <pageSetup paperSize="1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Spinner 1">
              <controlPr defaultSize="0" autoPict="0">
                <anchor moveWithCells="1" sizeWithCells="1">
                  <from>
                    <xdr:col>9</xdr:col>
                    <xdr:colOff>57150</xdr:colOff>
                    <xdr:row>3</xdr:row>
                    <xdr:rowOff>19050</xdr:rowOff>
                  </from>
                  <to>
                    <xdr:col>9</xdr:col>
                    <xdr:colOff>571500</xdr:colOff>
                    <xdr:row>6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opLeftCell="A22" zoomScaleNormal="100" zoomScaleSheetLayoutView="130" workbookViewId="0">
      <selection activeCell="E20" sqref="E20"/>
    </sheetView>
  </sheetViews>
  <sheetFormatPr defaultRowHeight="15" x14ac:dyDescent="0.25"/>
  <cols>
    <col min="1" max="1" width="7" style="4" customWidth="1"/>
    <col min="2" max="2" width="25.28515625" style="1" customWidth="1"/>
    <col min="3" max="3" width="20.140625" style="1" customWidth="1"/>
    <col min="4" max="4" width="31.5703125" style="4" bestFit="1" customWidth="1"/>
    <col min="5" max="5" width="31.5703125" style="4" customWidth="1"/>
    <col min="6" max="6" width="12" style="4" customWidth="1"/>
    <col min="7" max="7" width="29.85546875" style="1" bestFit="1" customWidth="1"/>
    <col min="8" max="8" width="15" style="1" bestFit="1" customWidth="1"/>
    <col min="9" max="16384" width="9.140625" style="1"/>
  </cols>
  <sheetData>
    <row r="1" spans="1:8" x14ac:dyDescent="0.25">
      <c r="A1" s="24" t="s">
        <v>0</v>
      </c>
      <c r="B1" s="24" t="s">
        <v>7</v>
      </c>
      <c r="C1" s="24" t="s">
        <v>6</v>
      </c>
      <c r="D1" s="24" t="s">
        <v>4</v>
      </c>
      <c r="E1" s="24" t="s">
        <v>17</v>
      </c>
      <c r="F1" s="24" t="s">
        <v>18</v>
      </c>
      <c r="G1" s="24" t="s">
        <v>5</v>
      </c>
      <c r="H1" s="2" t="s">
        <v>16</v>
      </c>
    </row>
    <row r="2" spans="1:8" x14ac:dyDescent="0.25">
      <c r="A2" s="2">
        <v>1</v>
      </c>
      <c r="B2" s="2" t="s">
        <v>8</v>
      </c>
      <c r="C2" s="27" t="s">
        <v>36</v>
      </c>
      <c r="D2" s="2" t="s">
        <v>9</v>
      </c>
      <c r="E2" s="2" t="s">
        <v>15</v>
      </c>
      <c r="F2" s="2">
        <v>2023</v>
      </c>
      <c r="G2" s="2" t="s">
        <v>21</v>
      </c>
      <c r="H2" s="25" t="s">
        <v>11</v>
      </c>
    </row>
    <row r="3" spans="1:8" x14ac:dyDescent="0.25">
      <c r="A3" s="2">
        <v>2</v>
      </c>
      <c r="B3" s="2" t="s">
        <v>8</v>
      </c>
      <c r="C3" s="27" t="s">
        <v>36</v>
      </c>
      <c r="D3" s="2" t="s">
        <v>9</v>
      </c>
      <c r="E3" s="2" t="s">
        <v>15</v>
      </c>
      <c r="F3" s="2">
        <v>2023</v>
      </c>
      <c r="G3" s="2" t="s">
        <v>21</v>
      </c>
      <c r="H3" s="25" t="s">
        <v>14</v>
      </c>
    </row>
    <row r="4" spans="1:8" x14ac:dyDescent="0.25">
      <c r="A4" s="2">
        <v>3</v>
      </c>
      <c r="B4" s="2" t="s">
        <v>8</v>
      </c>
      <c r="C4" s="27" t="s">
        <v>36</v>
      </c>
      <c r="D4" s="2" t="s">
        <v>9</v>
      </c>
      <c r="E4" s="2" t="s">
        <v>15</v>
      </c>
      <c r="F4" s="2">
        <v>2023</v>
      </c>
      <c r="G4" s="2" t="s">
        <v>21</v>
      </c>
      <c r="H4" s="25" t="s">
        <v>35</v>
      </c>
    </row>
    <row r="5" spans="1:8" x14ac:dyDescent="0.25">
      <c r="A5" s="2">
        <v>4</v>
      </c>
      <c r="B5" s="2" t="s">
        <v>8</v>
      </c>
      <c r="C5" s="27" t="s">
        <v>36</v>
      </c>
      <c r="D5" s="2" t="s">
        <v>9</v>
      </c>
      <c r="E5" s="2" t="s">
        <v>15</v>
      </c>
      <c r="F5" s="2">
        <v>2023</v>
      </c>
      <c r="G5" s="2" t="s">
        <v>21</v>
      </c>
      <c r="H5" s="25" t="s">
        <v>12</v>
      </c>
    </row>
    <row r="6" spans="1:8" x14ac:dyDescent="0.25">
      <c r="A6" s="2">
        <v>5</v>
      </c>
      <c r="B6" s="2" t="s">
        <v>8</v>
      </c>
      <c r="C6" s="27" t="s">
        <v>36</v>
      </c>
      <c r="D6" s="2" t="s">
        <v>9</v>
      </c>
      <c r="E6" s="2" t="s">
        <v>15</v>
      </c>
      <c r="F6" s="2">
        <v>2023</v>
      </c>
      <c r="G6" s="2" t="s">
        <v>10</v>
      </c>
      <c r="H6" s="25" t="s">
        <v>13</v>
      </c>
    </row>
    <row r="7" spans="1:8" x14ac:dyDescent="0.25">
      <c r="A7" s="2">
        <v>6</v>
      </c>
      <c r="B7" s="2" t="s">
        <v>19</v>
      </c>
      <c r="C7" s="2" t="s">
        <v>20</v>
      </c>
      <c r="D7" s="2" t="s">
        <v>9</v>
      </c>
      <c r="E7" s="2" t="s">
        <v>15</v>
      </c>
      <c r="F7" s="2">
        <v>2023</v>
      </c>
      <c r="G7" s="2" t="s">
        <v>21</v>
      </c>
      <c r="H7" s="25" t="s">
        <v>22</v>
      </c>
    </row>
    <row r="8" spans="1:8" x14ac:dyDescent="0.25">
      <c r="A8" s="2">
        <v>7</v>
      </c>
      <c r="B8" s="2" t="s">
        <v>19</v>
      </c>
      <c r="C8" s="2" t="s">
        <v>20</v>
      </c>
      <c r="D8" s="2" t="s">
        <v>9</v>
      </c>
      <c r="E8" s="2" t="s">
        <v>15</v>
      </c>
      <c r="F8" s="2">
        <v>2023</v>
      </c>
      <c r="G8" s="2" t="s">
        <v>21</v>
      </c>
      <c r="H8" s="25" t="s">
        <v>23</v>
      </c>
    </row>
    <row r="9" spans="1:8" x14ac:dyDescent="0.25">
      <c r="A9" s="2">
        <v>8</v>
      </c>
      <c r="B9" s="2" t="s">
        <v>19</v>
      </c>
      <c r="C9" s="2" t="s">
        <v>20</v>
      </c>
      <c r="D9" s="2" t="s">
        <v>9</v>
      </c>
      <c r="E9" s="2" t="s">
        <v>15</v>
      </c>
      <c r="F9" s="2">
        <v>2023</v>
      </c>
      <c r="G9" s="2" t="s">
        <v>21</v>
      </c>
      <c r="H9" s="25" t="s">
        <v>24</v>
      </c>
    </row>
    <row r="10" spans="1:8" x14ac:dyDescent="0.25">
      <c r="A10" s="2">
        <v>9</v>
      </c>
      <c r="B10" s="2" t="s">
        <v>19</v>
      </c>
      <c r="C10" s="2" t="s">
        <v>20</v>
      </c>
      <c r="D10" s="2" t="s">
        <v>9</v>
      </c>
      <c r="E10" s="2" t="s">
        <v>15</v>
      </c>
      <c r="F10" s="2">
        <v>2023</v>
      </c>
      <c r="G10" s="2" t="s">
        <v>21</v>
      </c>
      <c r="H10" s="25" t="s">
        <v>25</v>
      </c>
    </row>
    <row r="11" spans="1:8" x14ac:dyDescent="0.25">
      <c r="A11" s="2">
        <v>10</v>
      </c>
      <c r="B11" s="2" t="s">
        <v>19</v>
      </c>
      <c r="C11" s="2" t="s">
        <v>20</v>
      </c>
      <c r="D11" s="2" t="s">
        <v>9</v>
      </c>
      <c r="E11" s="2" t="s">
        <v>15</v>
      </c>
      <c r="F11" s="2">
        <v>2023</v>
      </c>
      <c r="G11" s="2" t="s">
        <v>21</v>
      </c>
      <c r="H11" s="25" t="s">
        <v>27</v>
      </c>
    </row>
    <row r="12" spans="1:8" x14ac:dyDescent="0.25">
      <c r="A12" s="2">
        <v>11</v>
      </c>
      <c r="B12" s="2" t="s">
        <v>19</v>
      </c>
      <c r="C12" s="2" t="s">
        <v>20</v>
      </c>
      <c r="D12" s="2" t="s">
        <v>9</v>
      </c>
      <c r="E12" s="2" t="s">
        <v>15</v>
      </c>
      <c r="F12" s="2">
        <v>2023</v>
      </c>
      <c r="G12" s="2" t="s">
        <v>21</v>
      </c>
      <c r="H12" s="25" t="s">
        <v>26</v>
      </c>
    </row>
    <row r="13" spans="1:8" x14ac:dyDescent="0.25">
      <c r="A13" s="2">
        <v>12</v>
      </c>
      <c r="B13" s="2" t="s">
        <v>19</v>
      </c>
      <c r="C13" s="2" t="s">
        <v>20</v>
      </c>
      <c r="D13" s="2" t="s">
        <v>9</v>
      </c>
      <c r="E13" s="2" t="s">
        <v>15</v>
      </c>
      <c r="F13" s="2">
        <v>2023</v>
      </c>
      <c r="G13" s="2" t="s">
        <v>21</v>
      </c>
      <c r="H13" s="25" t="s">
        <v>28</v>
      </c>
    </row>
    <row r="14" spans="1:8" x14ac:dyDescent="0.25">
      <c r="A14" s="2">
        <v>13</v>
      </c>
      <c r="B14" s="2" t="s">
        <v>19</v>
      </c>
      <c r="C14" s="2" t="s">
        <v>20</v>
      </c>
      <c r="D14" s="2" t="s">
        <v>9</v>
      </c>
      <c r="E14" s="2" t="s">
        <v>15</v>
      </c>
      <c r="F14" s="2">
        <v>2023</v>
      </c>
      <c r="G14" s="2" t="s">
        <v>21</v>
      </c>
      <c r="H14" s="25" t="s">
        <v>29</v>
      </c>
    </row>
    <row r="15" spans="1:8" x14ac:dyDescent="0.25">
      <c r="A15" s="2">
        <v>14</v>
      </c>
      <c r="B15" s="2" t="s">
        <v>19</v>
      </c>
      <c r="C15" s="2" t="s">
        <v>20</v>
      </c>
      <c r="D15" s="2" t="s">
        <v>9</v>
      </c>
      <c r="E15" s="2" t="s">
        <v>15</v>
      </c>
      <c r="F15" s="2">
        <v>2023</v>
      </c>
      <c r="G15" s="2" t="s">
        <v>21</v>
      </c>
      <c r="H15" s="25" t="s">
        <v>30</v>
      </c>
    </row>
    <row r="16" spans="1:8" x14ac:dyDescent="0.25">
      <c r="A16" s="2">
        <v>15</v>
      </c>
      <c r="B16" s="2" t="s">
        <v>19</v>
      </c>
      <c r="C16" s="2" t="s">
        <v>20</v>
      </c>
      <c r="D16" s="2" t="s">
        <v>9</v>
      </c>
      <c r="E16" s="2" t="s">
        <v>15</v>
      </c>
      <c r="F16" s="2">
        <v>2023</v>
      </c>
      <c r="G16" s="2" t="s">
        <v>21</v>
      </c>
      <c r="H16" s="25" t="s">
        <v>31</v>
      </c>
    </row>
    <row r="17" spans="1:8" x14ac:dyDescent="0.25">
      <c r="A17" s="2">
        <v>16</v>
      </c>
      <c r="B17" s="2" t="s">
        <v>19</v>
      </c>
      <c r="C17" s="2" t="s">
        <v>20</v>
      </c>
      <c r="D17" s="2" t="s">
        <v>9</v>
      </c>
      <c r="E17" s="2" t="s">
        <v>15</v>
      </c>
      <c r="F17" s="2">
        <v>2023</v>
      </c>
      <c r="G17" s="2" t="s">
        <v>21</v>
      </c>
      <c r="H17" s="25" t="s">
        <v>32</v>
      </c>
    </row>
    <row r="18" spans="1:8" x14ac:dyDescent="0.25">
      <c r="A18" s="2">
        <v>17</v>
      </c>
      <c r="B18" s="2" t="s">
        <v>19</v>
      </c>
      <c r="C18" s="2" t="s">
        <v>20</v>
      </c>
      <c r="D18" s="2" t="s">
        <v>9</v>
      </c>
      <c r="E18" s="2" t="s">
        <v>15</v>
      </c>
      <c r="F18" s="2">
        <v>2023</v>
      </c>
      <c r="G18" s="2" t="s">
        <v>21</v>
      </c>
      <c r="H18" s="25" t="s">
        <v>33</v>
      </c>
    </row>
    <row r="19" spans="1:8" x14ac:dyDescent="0.25">
      <c r="A19" s="2">
        <v>18</v>
      </c>
      <c r="B19" s="2" t="s">
        <v>19</v>
      </c>
      <c r="C19" s="2" t="s">
        <v>20</v>
      </c>
      <c r="D19" s="2" t="s">
        <v>9</v>
      </c>
      <c r="E19" s="2" t="s">
        <v>15</v>
      </c>
      <c r="F19" s="2">
        <v>2023</v>
      </c>
      <c r="G19" s="2" t="s">
        <v>21</v>
      </c>
      <c r="H19" s="25" t="s">
        <v>34</v>
      </c>
    </row>
    <row r="20" spans="1:8" ht="24" x14ac:dyDescent="0.25">
      <c r="A20" s="2">
        <v>19</v>
      </c>
      <c r="B20" s="24" t="s">
        <v>37</v>
      </c>
      <c r="C20" s="40" t="s">
        <v>38</v>
      </c>
      <c r="D20" s="41" t="s">
        <v>39</v>
      </c>
      <c r="E20" s="24" t="s">
        <v>15</v>
      </c>
      <c r="F20" s="24">
        <v>2020</v>
      </c>
      <c r="G20" s="24" t="s">
        <v>21</v>
      </c>
      <c r="H20" s="25" t="s">
        <v>40</v>
      </c>
    </row>
    <row r="21" spans="1:8" ht="24" x14ac:dyDescent="0.25">
      <c r="A21" s="2">
        <v>20</v>
      </c>
      <c r="B21" s="24" t="s">
        <v>37</v>
      </c>
      <c r="C21" s="40" t="s">
        <v>38</v>
      </c>
      <c r="D21" s="41" t="s">
        <v>39</v>
      </c>
      <c r="E21" s="24" t="s">
        <v>15</v>
      </c>
      <c r="F21" s="24">
        <v>2020</v>
      </c>
      <c r="G21" s="24" t="s">
        <v>21</v>
      </c>
      <c r="H21" s="25" t="s">
        <v>41</v>
      </c>
    </row>
    <row r="22" spans="1:8" ht="24" x14ac:dyDescent="0.25">
      <c r="A22" s="2">
        <v>21</v>
      </c>
      <c r="B22" s="24" t="s">
        <v>37</v>
      </c>
      <c r="C22" s="40" t="s">
        <v>38</v>
      </c>
      <c r="D22" s="41" t="s">
        <v>39</v>
      </c>
      <c r="E22" s="24" t="s">
        <v>15</v>
      </c>
      <c r="F22" s="24">
        <v>2020</v>
      </c>
      <c r="G22" s="24" t="s">
        <v>21</v>
      </c>
      <c r="H22" s="25" t="s">
        <v>42</v>
      </c>
    </row>
    <row r="23" spans="1:8" ht="24" x14ac:dyDescent="0.25">
      <c r="A23" s="2">
        <v>22</v>
      </c>
      <c r="B23" s="24" t="s">
        <v>37</v>
      </c>
      <c r="C23" s="40" t="s">
        <v>38</v>
      </c>
      <c r="D23" s="41" t="s">
        <v>39</v>
      </c>
      <c r="E23" s="24" t="s">
        <v>15</v>
      </c>
      <c r="F23" s="24">
        <v>2020</v>
      </c>
      <c r="G23" s="24" t="s">
        <v>21</v>
      </c>
      <c r="H23" s="25" t="s">
        <v>43</v>
      </c>
    </row>
    <row r="24" spans="1:8" ht="24" x14ac:dyDescent="0.25">
      <c r="A24" s="2">
        <v>23</v>
      </c>
      <c r="B24" s="24" t="s">
        <v>37</v>
      </c>
      <c r="C24" s="40" t="s">
        <v>38</v>
      </c>
      <c r="D24" s="41" t="s">
        <v>39</v>
      </c>
      <c r="E24" s="24" t="s">
        <v>15</v>
      </c>
      <c r="F24" s="24">
        <v>2020</v>
      </c>
      <c r="G24" s="24" t="s">
        <v>46</v>
      </c>
      <c r="H24" s="25" t="s">
        <v>44</v>
      </c>
    </row>
    <row r="25" spans="1:8" ht="24" x14ac:dyDescent="0.25">
      <c r="A25" s="2">
        <v>24</v>
      </c>
      <c r="B25" s="24" t="s">
        <v>37</v>
      </c>
      <c r="C25" s="40" t="s">
        <v>38</v>
      </c>
      <c r="D25" s="41" t="s">
        <v>39</v>
      </c>
      <c r="E25" s="24" t="s">
        <v>15</v>
      </c>
      <c r="F25" s="24">
        <v>2020</v>
      </c>
      <c r="G25" s="24" t="s">
        <v>47</v>
      </c>
      <c r="H25" s="25" t="s">
        <v>45</v>
      </c>
    </row>
    <row r="26" spans="1:8" x14ac:dyDescent="0.25">
      <c r="A26" s="2"/>
      <c r="B26" s="3"/>
      <c r="C26" s="3"/>
      <c r="D26" s="2"/>
      <c r="E26" s="2"/>
      <c r="F26" s="2"/>
      <c r="G26" s="3"/>
      <c r="H26" s="3"/>
    </row>
    <row r="27" spans="1:8" x14ac:dyDescent="0.25">
      <c r="A27" s="2"/>
      <c r="B27" s="3"/>
      <c r="C27" s="3"/>
      <c r="D27" s="2"/>
      <c r="E27" s="2"/>
      <c r="F27" s="2"/>
      <c r="G27" s="3"/>
      <c r="H27" s="3"/>
    </row>
    <row r="28" spans="1:8" x14ac:dyDescent="0.25">
      <c r="A28" s="2"/>
      <c r="B28" s="3"/>
      <c r="C28" s="3"/>
      <c r="D28" s="2"/>
      <c r="E28" s="2"/>
      <c r="F28" s="2"/>
      <c r="G28" s="3"/>
      <c r="H28" s="3"/>
    </row>
    <row r="29" spans="1:8" x14ac:dyDescent="0.25">
      <c r="A29" s="2"/>
      <c r="B29" s="3"/>
      <c r="C29" s="3"/>
      <c r="D29" s="2"/>
      <c r="E29" s="2"/>
      <c r="F29" s="2"/>
      <c r="G29" s="3"/>
      <c r="H29" s="3"/>
    </row>
    <row r="30" spans="1:8" x14ac:dyDescent="0.25">
      <c r="A30" s="2"/>
      <c r="B30" s="3"/>
      <c r="C30" s="3"/>
      <c r="D30" s="2"/>
      <c r="E30" s="2"/>
      <c r="F30" s="2"/>
      <c r="G30" s="3"/>
      <c r="H30" s="3"/>
    </row>
    <row r="31" spans="1:8" x14ac:dyDescent="0.25">
      <c r="A31" s="2"/>
      <c r="B31" s="3"/>
      <c r="C31" s="3"/>
      <c r="D31" s="2"/>
      <c r="E31" s="2"/>
      <c r="F31" s="2"/>
      <c r="G31" s="3"/>
      <c r="H31" s="3"/>
    </row>
    <row r="32" spans="1:8" x14ac:dyDescent="0.25">
      <c r="A32" s="2"/>
      <c r="B32" s="3"/>
      <c r="C32" s="3"/>
      <c r="D32" s="2"/>
      <c r="E32" s="2"/>
      <c r="F32" s="2"/>
      <c r="G32" s="3"/>
      <c r="H32" s="3"/>
    </row>
    <row r="33" spans="1:8" x14ac:dyDescent="0.25">
      <c r="A33" s="2"/>
      <c r="B33" s="3"/>
      <c r="C33" s="3"/>
      <c r="D33" s="2"/>
      <c r="E33" s="2"/>
      <c r="F33" s="2"/>
      <c r="G33" s="3"/>
      <c r="H33" s="3"/>
    </row>
    <row r="34" spans="1:8" x14ac:dyDescent="0.25">
      <c r="A34" s="2"/>
      <c r="B34" s="3"/>
      <c r="C34" s="3"/>
      <c r="D34" s="2"/>
      <c r="E34" s="2"/>
      <c r="F34" s="2"/>
      <c r="G34" s="3"/>
      <c r="H34" s="3"/>
    </row>
    <row r="35" spans="1:8" x14ac:dyDescent="0.25">
      <c r="A35" s="2"/>
      <c r="B35" s="3"/>
      <c r="C35" s="3"/>
      <c r="D35" s="2"/>
      <c r="E35" s="2"/>
      <c r="F35" s="2"/>
      <c r="G35" s="3"/>
      <c r="H35" s="3"/>
    </row>
    <row r="36" spans="1:8" x14ac:dyDescent="0.25">
      <c r="A36" s="2"/>
      <c r="B36" s="3"/>
      <c r="C36" s="3"/>
      <c r="D36" s="2"/>
      <c r="E36" s="2"/>
      <c r="F36" s="2"/>
      <c r="G36" s="3"/>
      <c r="H36" s="3"/>
    </row>
    <row r="37" spans="1:8" x14ac:dyDescent="0.25">
      <c r="A37" s="2"/>
      <c r="B37" s="3"/>
      <c r="C37" s="3"/>
      <c r="D37" s="2"/>
      <c r="E37" s="2"/>
      <c r="F37" s="2"/>
      <c r="G37" s="3"/>
      <c r="H37" s="3"/>
    </row>
    <row r="38" spans="1:8" x14ac:dyDescent="0.25">
      <c r="A38" s="2"/>
      <c r="B38" s="3"/>
      <c r="C38" s="3"/>
      <c r="D38" s="2"/>
      <c r="E38" s="2"/>
      <c r="F38" s="2"/>
      <c r="G38" s="3"/>
      <c r="H38" s="3"/>
    </row>
    <row r="39" spans="1:8" x14ac:dyDescent="0.25">
      <c r="A39" s="2"/>
      <c r="B39" s="3"/>
      <c r="C39" s="3"/>
      <c r="D39" s="2"/>
      <c r="E39" s="2"/>
      <c r="F39" s="2"/>
      <c r="G39" s="3"/>
      <c r="H39" s="3"/>
    </row>
    <row r="40" spans="1:8" x14ac:dyDescent="0.25">
      <c r="A40" s="2"/>
      <c r="B40" s="3"/>
      <c r="C40" s="3"/>
      <c r="D40" s="2"/>
      <c r="E40" s="2"/>
      <c r="F40" s="2"/>
      <c r="G40" s="3"/>
      <c r="H40" s="3"/>
    </row>
    <row r="41" spans="1:8" x14ac:dyDescent="0.25">
      <c r="A41" s="2"/>
      <c r="B41" s="3"/>
      <c r="C41" s="3"/>
      <c r="D41" s="2"/>
      <c r="E41" s="2"/>
      <c r="F41" s="2"/>
      <c r="G41" s="3"/>
      <c r="H41" s="3"/>
    </row>
    <row r="42" spans="1:8" x14ac:dyDescent="0.25">
      <c r="A42" s="2"/>
      <c r="B42" s="3"/>
      <c r="C42" s="3"/>
      <c r="D42" s="2"/>
      <c r="E42" s="2"/>
      <c r="F42" s="2"/>
      <c r="G42" s="3"/>
      <c r="H42" s="3"/>
    </row>
    <row r="43" spans="1:8" x14ac:dyDescent="0.25">
      <c r="A43" s="2"/>
      <c r="B43" s="3"/>
      <c r="C43" s="3"/>
      <c r="D43" s="2"/>
      <c r="E43" s="2"/>
      <c r="F43" s="2"/>
      <c r="G43" s="3"/>
      <c r="H43" s="3"/>
    </row>
    <row r="44" spans="1:8" x14ac:dyDescent="0.25">
      <c r="A44" s="2"/>
      <c r="B44" s="3"/>
      <c r="C44" s="3"/>
      <c r="D44" s="2"/>
      <c r="E44" s="2"/>
      <c r="F44" s="2"/>
      <c r="G44" s="3"/>
      <c r="H44" s="3"/>
    </row>
    <row r="45" spans="1:8" x14ac:dyDescent="0.25">
      <c r="A45" s="2"/>
      <c r="B45" s="3"/>
      <c r="C45" s="3"/>
      <c r="D45" s="2"/>
      <c r="E45" s="2"/>
      <c r="F45" s="2"/>
      <c r="G45" s="3"/>
      <c r="H45" s="3"/>
    </row>
    <row r="46" spans="1:8" x14ac:dyDescent="0.25">
      <c r="A46" s="2"/>
      <c r="B46" s="3"/>
      <c r="C46" s="3"/>
      <c r="D46" s="2"/>
      <c r="E46" s="2"/>
      <c r="F46" s="2"/>
      <c r="G46" s="3"/>
      <c r="H46" s="3"/>
    </row>
    <row r="47" spans="1:8" x14ac:dyDescent="0.25">
      <c r="A47" s="2"/>
      <c r="B47" s="3"/>
      <c r="C47" s="3"/>
      <c r="D47" s="2"/>
      <c r="E47" s="2"/>
      <c r="F47" s="2"/>
      <c r="G47" s="3"/>
      <c r="H47" s="3"/>
    </row>
    <row r="48" spans="1:8" x14ac:dyDescent="0.25">
      <c r="A48" s="2"/>
      <c r="B48" s="3"/>
      <c r="C48" s="3"/>
      <c r="D48" s="2"/>
      <c r="E48" s="2"/>
      <c r="F48" s="2"/>
      <c r="G48" s="3"/>
      <c r="H48" s="3"/>
    </row>
    <row r="49" spans="1:8" x14ac:dyDescent="0.25">
      <c r="A49" s="2"/>
      <c r="B49" s="3"/>
      <c r="C49" s="3"/>
      <c r="D49" s="2"/>
      <c r="E49" s="2"/>
      <c r="F49" s="2"/>
      <c r="G49" s="3"/>
      <c r="H49" s="3"/>
    </row>
    <row r="50" spans="1:8" x14ac:dyDescent="0.25">
      <c r="A50" s="2"/>
      <c r="B50" s="3"/>
      <c r="C50" s="3"/>
      <c r="D50" s="2"/>
      <c r="E50" s="2"/>
      <c r="F50" s="2"/>
      <c r="G50" s="3"/>
      <c r="H50" s="3"/>
    </row>
    <row r="51" spans="1:8" x14ac:dyDescent="0.25">
      <c r="A51" s="2"/>
      <c r="B51" s="3"/>
      <c r="C51" s="3"/>
      <c r="D51" s="2"/>
      <c r="E51" s="2"/>
      <c r="F51" s="2"/>
      <c r="G51" s="3"/>
      <c r="H51" s="3"/>
    </row>
    <row r="52" spans="1:8" x14ac:dyDescent="0.25">
      <c r="A52" s="2"/>
      <c r="B52" s="3"/>
      <c r="C52" s="3"/>
      <c r="D52" s="2"/>
      <c r="E52" s="2"/>
      <c r="F52" s="2"/>
      <c r="G52" s="3"/>
      <c r="H52" s="3"/>
    </row>
    <row r="53" spans="1:8" x14ac:dyDescent="0.25">
      <c r="A53" s="2"/>
      <c r="B53" s="3"/>
      <c r="C53" s="3"/>
      <c r="D53" s="2"/>
      <c r="E53" s="2"/>
      <c r="F53" s="2"/>
      <c r="G53" s="3"/>
      <c r="H53" s="3"/>
    </row>
    <row r="54" spans="1:8" x14ac:dyDescent="0.25">
      <c r="A54" s="2"/>
      <c r="B54" s="3"/>
      <c r="C54" s="3"/>
      <c r="D54" s="2"/>
      <c r="E54" s="2"/>
      <c r="F54" s="2"/>
      <c r="G54" s="3"/>
      <c r="H54" s="3"/>
    </row>
    <row r="55" spans="1:8" x14ac:dyDescent="0.25">
      <c r="A55" s="2"/>
      <c r="B55" s="3"/>
      <c r="C55" s="3"/>
      <c r="D55" s="2"/>
      <c r="E55" s="2"/>
      <c r="F55" s="2"/>
      <c r="G55" s="3"/>
      <c r="H55" s="3"/>
    </row>
    <row r="56" spans="1:8" x14ac:dyDescent="0.25">
      <c r="A56" s="2"/>
      <c r="B56" s="3"/>
      <c r="C56" s="3"/>
      <c r="D56" s="2"/>
      <c r="E56" s="2"/>
      <c r="F56" s="2"/>
      <c r="G56" s="3"/>
      <c r="H56" s="3"/>
    </row>
    <row r="57" spans="1:8" x14ac:dyDescent="0.25">
      <c r="A57" s="2"/>
      <c r="B57" s="3"/>
      <c r="C57" s="3"/>
      <c r="D57" s="2"/>
      <c r="E57" s="2"/>
      <c r="F57" s="2"/>
      <c r="G57" s="3"/>
      <c r="H57" s="3"/>
    </row>
    <row r="58" spans="1:8" x14ac:dyDescent="0.25">
      <c r="A58" s="2"/>
      <c r="B58" s="3"/>
      <c r="C58" s="3"/>
      <c r="D58" s="2"/>
      <c r="E58" s="2"/>
      <c r="F58" s="2"/>
      <c r="G58" s="3"/>
      <c r="H58" s="3"/>
    </row>
    <row r="59" spans="1:8" x14ac:dyDescent="0.25">
      <c r="A59" s="2"/>
      <c r="B59" s="3"/>
      <c r="C59" s="3"/>
      <c r="D59" s="2"/>
      <c r="E59" s="2"/>
      <c r="F59" s="2"/>
      <c r="G59" s="3"/>
      <c r="H59" s="3"/>
    </row>
    <row r="60" spans="1:8" x14ac:dyDescent="0.25">
      <c r="A60" s="2"/>
      <c r="B60" s="3"/>
      <c r="C60" s="3"/>
      <c r="D60" s="2"/>
      <c r="E60" s="2"/>
      <c r="F60" s="2"/>
      <c r="G60" s="3"/>
      <c r="H60" s="3"/>
    </row>
    <row r="61" spans="1:8" x14ac:dyDescent="0.25">
      <c r="A61" s="2"/>
      <c r="B61" s="3"/>
      <c r="C61" s="3"/>
      <c r="D61" s="2"/>
      <c r="E61" s="2"/>
      <c r="F61" s="2"/>
      <c r="G61" s="3"/>
      <c r="H61" s="3"/>
    </row>
    <row r="62" spans="1:8" x14ac:dyDescent="0.25">
      <c r="A62" s="2"/>
      <c r="B62" s="3"/>
      <c r="C62" s="3"/>
      <c r="D62" s="2"/>
      <c r="E62" s="2"/>
      <c r="F62" s="2"/>
      <c r="G62" s="3"/>
      <c r="H62" s="3"/>
    </row>
    <row r="63" spans="1:8" x14ac:dyDescent="0.25">
      <c r="A63" s="2"/>
      <c r="B63" s="3"/>
      <c r="C63" s="3"/>
      <c r="D63" s="2"/>
      <c r="E63" s="2"/>
      <c r="F63" s="2"/>
      <c r="G63" s="3"/>
      <c r="H63" s="3"/>
    </row>
    <row r="64" spans="1:8" x14ac:dyDescent="0.25">
      <c r="A64" s="2"/>
      <c r="B64" s="3"/>
      <c r="C64" s="3"/>
      <c r="D64" s="2"/>
      <c r="E64" s="2"/>
      <c r="F64" s="2"/>
      <c r="G64" s="3"/>
      <c r="H64" s="3"/>
    </row>
    <row r="65" spans="1:8" x14ac:dyDescent="0.25">
      <c r="A65" s="2"/>
      <c r="B65" s="3"/>
      <c r="C65" s="3"/>
      <c r="D65" s="2"/>
      <c r="E65" s="2"/>
      <c r="F65" s="2"/>
      <c r="G65" s="3"/>
      <c r="H65" s="3"/>
    </row>
    <row r="66" spans="1:8" x14ac:dyDescent="0.25">
      <c r="A66" s="2"/>
      <c r="B66" s="3"/>
      <c r="C66" s="3"/>
      <c r="D66" s="2"/>
      <c r="E66" s="2"/>
      <c r="F66" s="2"/>
      <c r="G66" s="3"/>
      <c r="H66" s="3"/>
    </row>
    <row r="67" spans="1:8" x14ac:dyDescent="0.25">
      <c r="A67" s="2"/>
      <c r="B67" s="3"/>
      <c r="C67" s="3"/>
      <c r="D67" s="2"/>
      <c r="E67" s="2"/>
      <c r="F67" s="2"/>
      <c r="G67" s="3"/>
      <c r="H67" s="3"/>
    </row>
    <row r="68" spans="1:8" x14ac:dyDescent="0.25">
      <c r="A68" s="2"/>
      <c r="B68" s="3"/>
      <c r="C68" s="3"/>
      <c r="D68" s="2"/>
      <c r="E68" s="2"/>
      <c r="F68" s="2"/>
      <c r="G68" s="3"/>
      <c r="H68" s="3"/>
    </row>
    <row r="69" spans="1:8" x14ac:dyDescent="0.25">
      <c r="A69" s="2"/>
      <c r="B69" s="3"/>
      <c r="C69" s="3"/>
      <c r="D69" s="2"/>
      <c r="E69" s="2"/>
      <c r="F69" s="2"/>
      <c r="G69" s="3"/>
      <c r="H69" s="3"/>
    </row>
    <row r="70" spans="1:8" x14ac:dyDescent="0.25">
      <c r="A70" s="2"/>
      <c r="B70" s="3"/>
      <c r="C70" s="3"/>
      <c r="D70" s="2"/>
      <c r="E70" s="2"/>
      <c r="F70" s="2"/>
      <c r="G70" s="3"/>
      <c r="H70" s="3"/>
    </row>
    <row r="71" spans="1:8" x14ac:dyDescent="0.25">
      <c r="A71" s="2"/>
      <c r="B71" s="3"/>
      <c r="C71" s="3"/>
      <c r="D71" s="2"/>
      <c r="E71" s="2"/>
      <c r="F71" s="2"/>
      <c r="G71" s="3"/>
      <c r="H71" s="3"/>
    </row>
    <row r="72" spans="1:8" x14ac:dyDescent="0.25">
      <c r="A72" s="2"/>
      <c r="B72" s="3"/>
      <c r="C72" s="3"/>
      <c r="D72" s="2"/>
      <c r="E72" s="2"/>
      <c r="F72" s="2"/>
      <c r="G72" s="3"/>
      <c r="H72" s="3"/>
    </row>
    <row r="73" spans="1:8" x14ac:dyDescent="0.25">
      <c r="A73" s="2"/>
      <c r="B73" s="3"/>
      <c r="C73" s="3"/>
      <c r="D73" s="2"/>
      <c r="E73" s="2"/>
      <c r="F73" s="2"/>
      <c r="G73" s="3"/>
      <c r="H73" s="3"/>
    </row>
    <row r="74" spans="1:8" x14ac:dyDescent="0.25">
      <c r="A74" s="2"/>
      <c r="B74" s="3"/>
      <c r="C74" s="3"/>
      <c r="D74" s="2"/>
      <c r="E74" s="2"/>
      <c r="F74" s="2"/>
      <c r="G74" s="3"/>
      <c r="H74" s="3"/>
    </row>
    <row r="75" spans="1:8" x14ac:dyDescent="0.25">
      <c r="A75" s="2"/>
      <c r="B75" s="3"/>
      <c r="C75" s="3"/>
      <c r="D75" s="2"/>
      <c r="E75" s="2"/>
      <c r="F75" s="2"/>
      <c r="G75" s="3"/>
      <c r="H75" s="3"/>
    </row>
    <row r="76" spans="1:8" x14ac:dyDescent="0.25">
      <c r="A76" s="2"/>
      <c r="B76" s="3"/>
      <c r="C76" s="3"/>
      <c r="D76" s="2"/>
      <c r="E76" s="2"/>
      <c r="F76" s="2"/>
      <c r="G76" s="3"/>
      <c r="H76" s="3"/>
    </row>
    <row r="77" spans="1:8" x14ac:dyDescent="0.25">
      <c r="A77" s="2"/>
      <c r="B77" s="3"/>
      <c r="C77" s="3"/>
      <c r="D77" s="2"/>
      <c r="E77" s="2"/>
      <c r="F77" s="2"/>
      <c r="G77" s="3"/>
      <c r="H77" s="3"/>
    </row>
    <row r="78" spans="1:8" x14ac:dyDescent="0.25">
      <c r="A78" s="2"/>
      <c r="B78" s="3"/>
      <c r="C78" s="3"/>
      <c r="D78" s="2"/>
      <c r="E78" s="2"/>
      <c r="F78" s="2"/>
      <c r="G78" s="3"/>
      <c r="H78" s="3"/>
    </row>
    <row r="79" spans="1:8" x14ac:dyDescent="0.25">
      <c r="A79" s="2"/>
      <c r="B79" s="3"/>
      <c r="C79" s="3"/>
      <c r="D79" s="2"/>
      <c r="E79" s="2"/>
      <c r="F79" s="2"/>
      <c r="G79" s="3"/>
      <c r="H79" s="3"/>
    </row>
    <row r="80" spans="1:8" x14ac:dyDescent="0.25">
      <c r="A80" s="2"/>
      <c r="B80" s="3"/>
      <c r="C80" s="3"/>
      <c r="D80" s="2"/>
      <c r="E80" s="2"/>
      <c r="F80" s="2"/>
      <c r="G80" s="3"/>
      <c r="H80" s="3"/>
    </row>
    <row r="81" spans="1:8" x14ac:dyDescent="0.25">
      <c r="A81" s="2"/>
      <c r="B81" s="3"/>
      <c r="C81" s="3"/>
      <c r="D81" s="2"/>
      <c r="E81" s="2"/>
      <c r="F81" s="2"/>
      <c r="G81" s="3"/>
      <c r="H81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DATABASE</vt:lpstr>
      <vt:lpstr>LABEL</vt:lpstr>
      <vt:lpstr>LABEL 10</vt:lpstr>
      <vt:lpstr>LABEL 4</vt:lpstr>
      <vt:lpstr>LABEL 2</vt:lpstr>
      <vt:lpstr>LABEL 1</vt:lpstr>
      <vt:lpstr>DATABASE (2)</vt:lpstr>
      <vt:lpstr>LABEL!Print_Area</vt:lpstr>
      <vt:lpstr>'LABEL 1'!Print_Area</vt:lpstr>
      <vt:lpstr>'LABEL 10'!Print_Area</vt:lpstr>
      <vt:lpstr>'LABEL 2'!Print_Area</vt:lpstr>
      <vt:lpstr>'LABEL 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GUDANG KEGELAPAN</cp:lastModifiedBy>
  <cp:lastPrinted>2023-10-04T01:27:50Z</cp:lastPrinted>
  <dcterms:created xsi:type="dcterms:W3CDTF">2018-12-22T14:32:30Z</dcterms:created>
  <dcterms:modified xsi:type="dcterms:W3CDTF">2023-10-16T08:12:40Z</dcterms:modified>
</cp:coreProperties>
</file>